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.png"/>
  <Default Extension="rels" ContentType="application/vnd.openxmlformats-package.relationships+xml"/>
  <Default Extension="xml" ContentType="application/xml"/>
  <Default Extension="jpg" ContentType="image/.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80be6b91a4c946bd" Type="http://schemas.microsoft.com/office/2006/relationships/ui/extensibility" Target="customUI/customUI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2" yWindow="156" windowWidth="21228" windowHeight="4536"/>
  </bookViews>
  <sheets>
    <sheet name="Euro 2012" sheetId="2" r:id="rId1"/>
  </sheets>
  <definedNames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3000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_xlnm.Print_Area" localSheetId="0">'Euro 2012'!$A$1:$AC$37</definedName>
  </definedNames>
  <calcPr calcId="145621"/>
</workbook>
</file>

<file path=xl/calcChain.xml><?xml version="1.0" encoding="utf-8"?>
<calcChain xmlns="http://schemas.openxmlformats.org/spreadsheetml/2006/main">
  <c r="AT8" i="2" l="1"/>
  <c r="BZ8" i="2" s="1"/>
  <c r="BV6" i="2" l="1"/>
  <c r="N7" i="2"/>
  <c r="I8" i="2"/>
  <c r="AL8" i="2"/>
  <c r="AN8" i="2"/>
  <c r="AO8" i="2"/>
  <c r="AR8" i="2"/>
  <c r="BX8" i="2" s="1"/>
  <c r="BW9" i="2" s="1"/>
  <c r="AS8" i="2"/>
  <c r="AQ11" i="2"/>
  <c r="D9" i="2"/>
  <c r="G9" i="2"/>
  <c r="AL9" i="2"/>
  <c r="AN9" i="2"/>
  <c r="AO9" i="2"/>
  <c r="AQ9" i="2"/>
  <c r="AT9" i="2"/>
  <c r="BZ9" i="2" s="1"/>
  <c r="BX11" i="2" s="1"/>
  <c r="D10" i="2"/>
  <c r="G10" i="2"/>
  <c r="AL10" i="2"/>
  <c r="AN10" i="2"/>
  <c r="AO10" i="2"/>
  <c r="AR10" i="2"/>
  <c r="AS9" i="2" s="1"/>
  <c r="BY9" i="2" s="1"/>
  <c r="BX10" i="2" s="1"/>
  <c r="AT10" i="2"/>
  <c r="BZ10" i="2" s="1"/>
  <c r="BY11" i="2" s="1"/>
  <c r="D11" i="2"/>
  <c r="G11" i="2"/>
  <c r="AL11" i="2"/>
  <c r="AN11" i="2"/>
  <c r="AO11" i="2"/>
  <c r="D12" i="2"/>
  <c r="G12" i="2"/>
  <c r="N15" i="2"/>
  <c r="I16" i="2"/>
  <c r="AL16" i="2"/>
  <c r="AN16" i="2"/>
  <c r="AO16" i="2"/>
  <c r="AR16" i="2"/>
  <c r="BX16" i="2" s="1"/>
  <c r="BW17" i="2" s="1"/>
  <c r="AS16" i="2"/>
  <c r="AT16" i="2"/>
  <c r="BZ16" i="2" s="1"/>
  <c r="BW19" i="2" s="1"/>
  <c r="D17" i="2"/>
  <c r="G17" i="2"/>
  <c r="AL17" i="2"/>
  <c r="AN17" i="2"/>
  <c r="AO17" i="2"/>
  <c r="AQ17" i="2"/>
  <c r="AT17" i="2"/>
  <c r="BZ17" i="2" s="1"/>
  <c r="BX19" i="2" s="1"/>
  <c r="D18" i="2"/>
  <c r="G18" i="2"/>
  <c r="AL18" i="2"/>
  <c r="AN18" i="2"/>
  <c r="AO18" i="2"/>
  <c r="AR18" i="2"/>
  <c r="AS17" i="2" s="1"/>
  <c r="BY17" i="2" s="1"/>
  <c r="BX18" i="2" s="1"/>
  <c r="AT18" i="2"/>
  <c r="D19" i="2"/>
  <c r="G19" i="2"/>
  <c r="AL19" i="2"/>
  <c r="AN19" i="2"/>
  <c r="AO19" i="2"/>
  <c r="AQ19" i="2"/>
  <c r="AR19" i="2"/>
  <c r="D20" i="2"/>
  <c r="G20" i="2"/>
  <c r="N23" i="2"/>
  <c r="I24" i="2"/>
  <c r="AL24" i="2"/>
  <c r="AN24" i="2"/>
  <c r="AO24" i="2"/>
  <c r="AR24" i="2"/>
  <c r="BX24" i="2" s="1"/>
  <c r="BW25" i="2" s="1"/>
  <c r="AS24" i="2"/>
  <c r="AT24" i="2"/>
  <c r="D25" i="2"/>
  <c r="G25" i="2"/>
  <c r="AL25" i="2"/>
  <c r="AN25" i="2"/>
  <c r="AO25" i="2"/>
  <c r="AT25" i="2"/>
  <c r="BZ25" i="2" s="1"/>
  <c r="BX27" i="2" s="1"/>
  <c r="D26" i="2"/>
  <c r="G26" i="2"/>
  <c r="AL26" i="2"/>
  <c r="AN26" i="2"/>
  <c r="AO26" i="2"/>
  <c r="AR26" i="2"/>
  <c r="AS25" i="2" s="1"/>
  <c r="BY25" i="2" s="1"/>
  <c r="BX26" i="2" s="1"/>
  <c r="AT26" i="2"/>
  <c r="BZ26" i="2" s="1"/>
  <c r="BY27" i="2" s="1"/>
  <c r="D27" i="2"/>
  <c r="G27" i="2"/>
  <c r="AL27" i="2"/>
  <c r="AN27" i="2"/>
  <c r="AO27" i="2"/>
  <c r="D28" i="2"/>
  <c r="G28" i="2"/>
  <c r="N31" i="2"/>
  <c r="I32" i="2"/>
  <c r="AL32" i="2"/>
  <c r="AN32" i="2"/>
  <c r="AO32" i="2"/>
  <c r="AR32" i="2"/>
  <c r="BX32" i="2" s="1"/>
  <c r="BW33" i="2" s="1"/>
  <c r="AS32" i="2"/>
  <c r="AT32" i="2"/>
  <c r="BZ32" i="2" s="1"/>
  <c r="BW35" i="2" s="1"/>
  <c r="D33" i="2"/>
  <c r="G33" i="2"/>
  <c r="AL33" i="2"/>
  <c r="AN33" i="2"/>
  <c r="AO33" i="2"/>
  <c r="AT33" i="2"/>
  <c r="D34" i="2"/>
  <c r="G34" i="2"/>
  <c r="AL34" i="2"/>
  <c r="AN34" i="2"/>
  <c r="AO34" i="2"/>
  <c r="AR34" i="2"/>
  <c r="AS33" i="2" s="1"/>
  <c r="BY33" i="2" s="1"/>
  <c r="BX34" i="2" s="1"/>
  <c r="AT34" i="2"/>
  <c r="BZ34" i="2" s="1"/>
  <c r="BY35" i="2" s="1"/>
  <c r="D35" i="2"/>
  <c r="G35" i="2"/>
  <c r="AL35" i="2"/>
  <c r="AN35" i="2"/>
  <c r="AO35" i="2"/>
  <c r="AQ35" i="2"/>
  <c r="D36" i="2"/>
  <c r="G36" i="2"/>
  <c r="AR27" i="2" l="1"/>
  <c r="AQ34" i="2"/>
  <c r="BY32" i="2"/>
  <c r="BW34" i="2" s="1"/>
  <c r="AR35" i="2"/>
  <c r="BZ33" i="2"/>
  <c r="BX35" i="2" s="1"/>
  <c r="AQ27" i="2"/>
  <c r="BZ24" i="2"/>
  <c r="BW27" i="2" s="1"/>
  <c r="AQ26" i="2"/>
  <c r="BY24" i="2"/>
  <c r="BW26" i="2" s="1"/>
  <c r="AQ18" i="2"/>
  <c r="BY16" i="2"/>
  <c r="BW18" i="2" s="1"/>
  <c r="AS19" i="2"/>
  <c r="BZ18" i="2"/>
  <c r="BY19" i="2" s="1"/>
  <c r="BA8" i="2"/>
  <c r="BY8" i="2"/>
  <c r="AY8" i="2"/>
  <c r="AQ10" i="2"/>
  <c r="BA10" i="2" s="1"/>
  <c r="AR11" i="2"/>
  <c r="AZ11" i="2" s="1"/>
  <c r="AS11" i="2"/>
  <c r="BA11" i="2" s="1"/>
  <c r="AS35" i="2"/>
  <c r="BB34" i="2"/>
  <c r="AP18" i="2"/>
  <c r="AP32" i="2"/>
  <c r="AZ16" i="2"/>
  <c r="AP16" i="2"/>
  <c r="AP34" i="2"/>
  <c r="AP27" i="2"/>
  <c r="AZ17" i="2"/>
  <c r="AP8" i="2"/>
  <c r="AZ32" i="2"/>
  <c r="AP35" i="2"/>
  <c r="AQ33" i="2"/>
  <c r="AZ33" i="2" s="1"/>
  <c r="AZ27" i="2"/>
  <c r="AP25" i="2"/>
  <c r="AP19" i="2"/>
  <c r="BB10" i="2"/>
  <c r="AY10" i="2"/>
  <c r="AP9" i="2"/>
  <c r="BA35" i="2"/>
  <c r="BA19" i="2"/>
  <c r="AZ35" i="2"/>
  <c r="AP33" i="2"/>
  <c r="BA32" i="2"/>
  <c r="AY32" i="2"/>
  <c r="BB26" i="2"/>
  <c r="AY26" i="2"/>
  <c r="BA24" i="2"/>
  <c r="AY24" i="2"/>
  <c r="AZ19" i="2"/>
  <c r="BB18" i="2"/>
  <c r="AP17" i="2"/>
  <c r="BA16" i="2"/>
  <c r="AY16" i="2"/>
  <c r="AP11" i="2"/>
  <c r="AU17" i="2"/>
  <c r="AS27" i="2"/>
  <c r="BB27" i="2" s="1"/>
  <c r="BA26" i="2"/>
  <c r="AP26" i="2"/>
  <c r="AQ25" i="2"/>
  <c r="AZ25" i="2" s="1"/>
  <c r="AZ24" i="2"/>
  <c r="AP24" i="2"/>
  <c r="AP10" i="2"/>
  <c r="AZ9" i="2"/>
  <c r="AZ8" i="2"/>
  <c r="AM34" i="2"/>
  <c r="AY34" i="2"/>
  <c r="BA34" i="2"/>
  <c r="AM18" i="2"/>
  <c r="AY18" i="2"/>
  <c r="BA18" i="2"/>
  <c r="BB35" i="2"/>
  <c r="AM35" i="2"/>
  <c r="AV34" i="2"/>
  <c r="AM32" i="2"/>
  <c r="BB19" i="2"/>
  <c r="AM19" i="2"/>
  <c r="AM16" i="2"/>
  <c r="AM26" i="2"/>
  <c r="AM24" i="2"/>
  <c r="AM10" i="2"/>
  <c r="AM8" i="2"/>
  <c r="AY33" i="2"/>
  <c r="BB33" i="2"/>
  <c r="AM33" i="2"/>
  <c r="AY25" i="2"/>
  <c r="BB25" i="2"/>
  <c r="AY17" i="2"/>
  <c r="BB17" i="2"/>
  <c r="AY9" i="2"/>
  <c r="BB9" i="2"/>
  <c r="AW33" i="2"/>
  <c r="AM17" i="2"/>
  <c r="AM9" i="2"/>
  <c r="BD8" i="2" s="1"/>
  <c r="AW17" i="2"/>
  <c r="AM11" i="2" l="1"/>
  <c r="CE26" i="2"/>
  <c r="CC26" i="2"/>
  <c r="CB26" i="2"/>
  <c r="CE33" i="2"/>
  <c r="CD33" i="2"/>
  <c r="CB33" i="2"/>
  <c r="CD25" i="2"/>
  <c r="CE25" i="2"/>
  <c r="CB25" i="2"/>
  <c r="CE34" i="2"/>
  <c r="CB34" i="2"/>
  <c r="CC34" i="2"/>
  <c r="CE18" i="2"/>
  <c r="CB18" i="2"/>
  <c r="CC18" i="2"/>
  <c r="CC24" i="2"/>
  <c r="CD24" i="2"/>
  <c r="CE24" i="2"/>
  <c r="AV19" i="2"/>
  <c r="CE17" i="2"/>
  <c r="CB17" i="2"/>
  <c r="CD17" i="2"/>
  <c r="AU19" i="2"/>
  <c r="CB19" i="2"/>
  <c r="CD19" i="2"/>
  <c r="CC19" i="2"/>
  <c r="CB35" i="2"/>
  <c r="CC35" i="2"/>
  <c r="CD35" i="2"/>
  <c r="CB27" i="2"/>
  <c r="CC27" i="2"/>
  <c r="CD27" i="2"/>
  <c r="CE16" i="2"/>
  <c r="CC16" i="2"/>
  <c r="CD16" i="2"/>
  <c r="CD32" i="2"/>
  <c r="CE32" i="2"/>
  <c r="CC32" i="2"/>
  <c r="CB10" i="2"/>
  <c r="CC10" i="2"/>
  <c r="CC11" i="2"/>
  <c r="CE10" i="2"/>
  <c r="CC8" i="2"/>
  <c r="CB11" i="2"/>
  <c r="CD9" i="2"/>
  <c r="CE8" i="2"/>
  <c r="CD11" i="2"/>
  <c r="CE9" i="2"/>
  <c r="CB9" i="2"/>
  <c r="CD8" i="2"/>
  <c r="AX18" i="2"/>
  <c r="BE17" i="2"/>
  <c r="BD16" i="2"/>
  <c r="BD18" i="2"/>
  <c r="BC17" i="2"/>
  <c r="AU34" i="2"/>
  <c r="BD35" i="2"/>
  <c r="BE33" i="2"/>
  <c r="BD34" i="2"/>
  <c r="BF33" i="2"/>
  <c r="CF32" i="2"/>
  <c r="AV24" i="2"/>
  <c r="AX26" i="2"/>
  <c r="AV16" i="2"/>
  <c r="AX16" i="2"/>
  <c r="CF16" i="2"/>
  <c r="AV8" i="2"/>
  <c r="AX8" i="2"/>
  <c r="BB11" i="2"/>
  <c r="AX10" i="2"/>
  <c r="BG8" i="2"/>
  <c r="CF8" i="2"/>
  <c r="AW8" i="2"/>
  <c r="AV27" i="2"/>
  <c r="AV10" i="2"/>
  <c r="AW11" i="2"/>
  <c r="AU18" i="2"/>
  <c r="AW27" i="2"/>
  <c r="AV26" i="2"/>
  <c r="AX17" i="2"/>
  <c r="AU27" i="2"/>
  <c r="AW9" i="2"/>
  <c r="AM25" i="2"/>
  <c r="AX25" i="2"/>
  <c r="AV18" i="2"/>
  <c r="AU10" i="2"/>
  <c r="AU25" i="2"/>
  <c r="AW19" i="2"/>
  <c r="AW16" i="2"/>
  <c r="AW32" i="2"/>
  <c r="AX34" i="2"/>
  <c r="AU35" i="2"/>
  <c r="AX32" i="2"/>
  <c r="AV32" i="2"/>
  <c r="AW35" i="2"/>
  <c r="AU33" i="2"/>
  <c r="AX9" i="2"/>
  <c r="AU9" i="2"/>
  <c r="AX33" i="2"/>
  <c r="AV35" i="2"/>
  <c r="AX24" i="2"/>
  <c r="AU26" i="2"/>
  <c r="AW25" i="2"/>
  <c r="AM27" i="2"/>
  <c r="AW24" i="2"/>
  <c r="AU11" i="2"/>
  <c r="AV11" i="2"/>
  <c r="BA27" i="2"/>
  <c r="BG16" i="2"/>
  <c r="BG24" i="2"/>
  <c r="BG32" i="2"/>
  <c r="CJ32" i="2" l="1"/>
  <c r="CG32" i="2"/>
  <c r="CI32" i="2"/>
  <c r="CH32" i="2"/>
  <c r="CF24" i="2"/>
  <c r="CJ16" i="2"/>
  <c r="CG16" i="2"/>
  <c r="CI16" i="2"/>
  <c r="CH16" i="2"/>
  <c r="CH8" i="2"/>
  <c r="CI8" i="2"/>
  <c r="CG8" i="2"/>
  <c r="BK8" i="2"/>
  <c r="BI8" i="2"/>
  <c r="BJ8" i="2"/>
  <c r="CJ8" i="2"/>
  <c r="BH8" i="2"/>
  <c r="BH32" i="2"/>
  <c r="BI32" i="2"/>
  <c r="BJ32" i="2"/>
  <c r="BK32" i="2"/>
  <c r="BH24" i="2"/>
  <c r="BI24" i="2"/>
  <c r="BJ24" i="2"/>
  <c r="BM24" i="2" s="1"/>
  <c r="BU24" i="2" s="1"/>
  <c r="BK24" i="2"/>
  <c r="BH16" i="2"/>
  <c r="BI16" i="2"/>
  <c r="BJ16" i="2"/>
  <c r="BK16" i="2"/>
  <c r="BP16" i="2" s="1"/>
  <c r="BV17" i="2" s="1"/>
  <c r="CK32" i="2" l="1"/>
  <c r="CK16" i="2"/>
  <c r="BF34" i="2"/>
  <c r="BC34" i="2"/>
  <c r="BE35" i="2"/>
  <c r="BF32" i="2"/>
  <c r="BC35" i="2"/>
  <c r="BE32" i="2"/>
  <c r="CJ24" i="2"/>
  <c r="CI24" i="2"/>
  <c r="CG24" i="2"/>
  <c r="CH24" i="2"/>
  <c r="CK24" i="2" s="1"/>
  <c r="CK8" i="2"/>
  <c r="BM8" i="2"/>
  <c r="BU8" i="2" s="1"/>
  <c r="BW11" i="2"/>
  <c r="BL8" i="2"/>
  <c r="BN8" i="2"/>
  <c r="BV8" i="2" s="1"/>
  <c r="BO8" i="2"/>
  <c r="BL32" i="2"/>
  <c r="BT32" i="2" s="1"/>
  <c r="BP32" i="2"/>
  <c r="BV33" i="2" s="1"/>
  <c r="BQ24" i="2"/>
  <c r="BV26" i="2" s="1"/>
  <c r="BL24" i="2"/>
  <c r="BT24" i="2" s="1"/>
  <c r="BO24" i="2"/>
  <c r="BU25" i="2" s="1"/>
  <c r="BL16" i="2"/>
  <c r="BT16" i="2" s="1"/>
  <c r="BQ8" i="2"/>
  <c r="BV10" i="2" s="1"/>
  <c r="BQ16" i="2"/>
  <c r="BV18" i="2" s="1"/>
  <c r="BQ32" i="2"/>
  <c r="BV34" i="2" s="1"/>
  <c r="BM16" i="2"/>
  <c r="BM32" i="2"/>
  <c r="BN16" i="2"/>
  <c r="BV16" i="2" s="1"/>
  <c r="BN32" i="2"/>
  <c r="BV32" i="2" s="1"/>
  <c r="BU16" i="2"/>
  <c r="BU32" i="2"/>
  <c r="BP8" i="2"/>
  <c r="BV9" i="2" s="1"/>
  <c r="BO16" i="2"/>
  <c r="BU17" i="2" s="1"/>
  <c r="BP24" i="2"/>
  <c r="BV25" i="2" s="1"/>
  <c r="BN24" i="2"/>
  <c r="BV24" i="2" s="1"/>
  <c r="BO32" i="2"/>
  <c r="BU33" i="2" s="1"/>
  <c r="BD32" i="2" l="1"/>
  <c r="BC33" i="2"/>
  <c r="BF16" i="2"/>
  <c r="BD19" i="2"/>
  <c r="BF17" i="2"/>
  <c r="BD26" i="2"/>
  <c r="BE25" i="2"/>
  <c r="BC25" i="2"/>
  <c r="BD24" i="2"/>
  <c r="BF25" i="2"/>
  <c r="BD27" i="2"/>
  <c r="BE19" i="2"/>
  <c r="BE16" i="2"/>
  <c r="BC19" i="2"/>
  <c r="AK19" i="2" s="1"/>
  <c r="BF18" i="2"/>
  <c r="AK18" i="2" s="1"/>
  <c r="BC18" i="2"/>
  <c r="BC26" i="2"/>
  <c r="BE24" i="2"/>
  <c r="BF24" i="2"/>
  <c r="BC27" i="2"/>
  <c r="BE27" i="2"/>
  <c r="BF26" i="2"/>
  <c r="BD11" i="2"/>
  <c r="BE11" i="2"/>
  <c r="BC11" i="2"/>
  <c r="BF9" i="2"/>
  <c r="BF8" i="2"/>
  <c r="BE8" i="2"/>
  <c r="BF10" i="2"/>
  <c r="BW10" i="2"/>
  <c r="BC10" i="2" s="1"/>
  <c r="BT6" i="2"/>
  <c r="BT8" i="2"/>
  <c r="BU9" i="2"/>
  <c r="BE9" i="2" s="1"/>
  <c r="AK35" i="2"/>
  <c r="AK33" i="2"/>
  <c r="AK34" i="2"/>
  <c r="AK32" i="2"/>
  <c r="AK25" i="2"/>
  <c r="AK24" i="2"/>
  <c r="AK27" i="2"/>
  <c r="AK17" i="2"/>
  <c r="AK16" i="2"/>
  <c r="BR24" i="2" a="1"/>
  <c r="BR24" i="2" s="1"/>
  <c r="BR8" i="2" a="1"/>
  <c r="BR8" i="2" s="1"/>
  <c r="BR32" i="2" a="1"/>
  <c r="BR32" i="2" s="1"/>
  <c r="BR16" i="2" a="1"/>
  <c r="BR16" i="2" s="1"/>
  <c r="AK26" i="2" l="1"/>
  <c r="AJ26" i="2" s="1"/>
  <c r="N26" i="2" s="1"/>
  <c r="BC9" i="2"/>
  <c r="BD10" i="2"/>
  <c r="AK10" i="2" s="1"/>
  <c r="AK8" i="2"/>
  <c r="AK11" i="2"/>
  <c r="AJ32" i="2"/>
  <c r="AJ34" i="2"/>
  <c r="AJ33" i="2"/>
  <c r="AH33" i="2" s="1"/>
  <c r="AJ35" i="2"/>
  <c r="AJ25" i="2"/>
  <c r="AJ17" i="2"/>
  <c r="AJ19" i="2"/>
  <c r="AJ16" i="2"/>
  <c r="AJ18" i="2"/>
  <c r="AH35" i="2" l="1"/>
  <c r="AJ27" i="2"/>
  <c r="AI27" i="2" s="1"/>
  <c r="AJ24" i="2"/>
  <c r="AH25" i="2" s="1"/>
  <c r="I25" i="2" s="1"/>
  <c r="AH19" i="2"/>
  <c r="AH17" i="2"/>
  <c r="AH18" i="2" s="1"/>
  <c r="AH34" i="2"/>
  <c r="J26" i="2"/>
  <c r="AH26" i="2"/>
  <c r="AK9" i="2"/>
  <c r="AJ9" i="2" s="1"/>
  <c r="M26" i="2"/>
  <c r="K33" i="2"/>
  <c r="M33" i="2"/>
  <c r="I33" i="2"/>
  <c r="J33" i="2"/>
  <c r="L33" i="2"/>
  <c r="N33" i="2"/>
  <c r="AI33" i="2"/>
  <c r="J32" i="2"/>
  <c r="L32" i="2"/>
  <c r="N32" i="2"/>
  <c r="K32" i="2"/>
  <c r="M32" i="2"/>
  <c r="AI32" i="2"/>
  <c r="K35" i="2"/>
  <c r="M35" i="2"/>
  <c r="J35" i="2"/>
  <c r="L35" i="2"/>
  <c r="N35" i="2"/>
  <c r="AI35" i="2"/>
  <c r="J34" i="2"/>
  <c r="L34" i="2"/>
  <c r="N34" i="2"/>
  <c r="AI34" i="2"/>
  <c r="K34" i="2"/>
  <c r="M34" i="2"/>
  <c r="I34" i="2"/>
  <c r="U12" i="2" s="1"/>
  <c r="L26" i="2"/>
  <c r="AI26" i="2"/>
  <c r="K26" i="2"/>
  <c r="K24" i="2"/>
  <c r="M24" i="2"/>
  <c r="AI24" i="2"/>
  <c r="J24" i="2"/>
  <c r="L24" i="2"/>
  <c r="N24" i="2"/>
  <c r="L27" i="2"/>
  <c r="K27" i="2"/>
  <c r="J25" i="2"/>
  <c r="L25" i="2"/>
  <c r="N25" i="2"/>
  <c r="AI25" i="2"/>
  <c r="K25" i="2"/>
  <c r="M25" i="2"/>
  <c r="K16" i="2"/>
  <c r="M16" i="2"/>
  <c r="AI16" i="2"/>
  <c r="L16" i="2"/>
  <c r="N16" i="2"/>
  <c r="J16" i="2"/>
  <c r="J17" i="2"/>
  <c r="L17" i="2"/>
  <c r="N17" i="2"/>
  <c r="AI17" i="2"/>
  <c r="K17" i="2"/>
  <c r="M17" i="2"/>
  <c r="K18" i="2"/>
  <c r="M18" i="2"/>
  <c r="J18" i="2"/>
  <c r="N18" i="2"/>
  <c r="AI18" i="2"/>
  <c r="L18" i="2"/>
  <c r="J19" i="2"/>
  <c r="L19" i="2"/>
  <c r="N19" i="2"/>
  <c r="AI19" i="2"/>
  <c r="K19" i="2"/>
  <c r="M19" i="2"/>
  <c r="M27" i="2" l="1"/>
  <c r="J27" i="2"/>
  <c r="N27" i="2"/>
  <c r="AH27" i="2"/>
  <c r="I17" i="2"/>
  <c r="U11" i="2"/>
  <c r="U19" i="2" s="1"/>
  <c r="AA25" i="2" s="1"/>
  <c r="AA31" i="2" s="1"/>
  <c r="AI9" i="2"/>
  <c r="AJ10" i="2"/>
  <c r="U9" i="2"/>
  <c r="U18" i="2" s="1"/>
  <c r="AA24" i="2" s="1"/>
  <c r="AA29" i="2" s="1"/>
  <c r="AJ8" i="2"/>
  <c r="AH9" i="2" s="1"/>
  <c r="M9" i="2"/>
  <c r="AJ11" i="2"/>
  <c r="N9" i="2"/>
  <c r="I35" i="2"/>
  <c r="J36" i="2"/>
  <c r="U13" i="2"/>
  <c r="AI10" i="2" l="1"/>
  <c r="AH10" i="2"/>
  <c r="AH11" i="2" s="1"/>
  <c r="AI11" i="2"/>
  <c r="I9" i="2"/>
  <c r="AI8" i="2"/>
  <c r="J11" i="2"/>
  <c r="M8" i="2"/>
  <c r="N8" i="2"/>
  <c r="J10" i="2"/>
  <c r="K10" i="2"/>
  <c r="L9" i="2"/>
  <c r="K11" i="2"/>
  <c r="L11" i="2"/>
  <c r="N10" i="2"/>
  <c r="M10" i="2"/>
  <c r="L10" i="2"/>
  <c r="K9" i="2"/>
  <c r="J9" i="2"/>
  <c r="M11" i="2"/>
  <c r="N11" i="2"/>
  <c r="J8" i="2"/>
  <c r="L8" i="2"/>
  <c r="K8" i="2"/>
  <c r="I26" i="2"/>
  <c r="I27" i="2"/>
  <c r="I18" i="2"/>
  <c r="I19" i="2"/>
  <c r="I10" i="2" l="1"/>
  <c r="U7" i="2"/>
  <c r="U14" i="2"/>
  <c r="U20" i="2" s="1"/>
  <c r="U25" i="2" s="1"/>
  <c r="AA27" i="2" s="1"/>
  <c r="J28" i="2"/>
  <c r="J20" i="2"/>
  <c r="U8" i="2"/>
  <c r="I11" i="2" l="1"/>
  <c r="U17" i="2"/>
  <c r="U24" i="2" s="1"/>
  <c r="U27" i="2" s="1"/>
  <c r="U10" i="2"/>
  <c r="J12" i="2"/>
</calcChain>
</file>

<file path=xl/sharedStrings.xml><?xml version="1.0" encoding="utf-8"?>
<sst xmlns="http://schemas.openxmlformats.org/spreadsheetml/2006/main" count="416" uniqueCount="112">
  <si>
    <t>Pts</t>
  </si>
  <si>
    <t>GF</t>
  </si>
  <si>
    <t>GA</t>
  </si>
  <si>
    <t>GD</t>
  </si>
  <si>
    <t>Ag1</t>
  </si>
  <si>
    <t>Ag2</t>
  </si>
  <si>
    <t>Ag3</t>
  </si>
  <si>
    <t>Ag4</t>
  </si>
  <si>
    <t>T12</t>
  </si>
  <si>
    <t>Rk1</t>
  </si>
  <si>
    <t>Rk2</t>
  </si>
  <si>
    <t>Rk3</t>
  </si>
  <si>
    <t>Rk4</t>
  </si>
  <si>
    <t>Rank</t>
  </si>
  <si>
    <t>Team</t>
  </si>
  <si>
    <t>x</t>
  </si>
  <si>
    <t>T123</t>
  </si>
  <si>
    <t>T124</t>
  </si>
  <si>
    <t>T134</t>
  </si>
  <si>
    <t>T234</t>
  </si>
  <si>
    <t>T1234</t>
  </si>
  <si>
    <t>T13</t>
  </si>
  <si>
    <t>T14</t>
  </si>
  <si>
    <t>T23</t>
  </si>
  <si>
    <t>T24</t>
  </si>
  <si>
    <t>T34</t>
  </si>
  <si>
    <t>NoT</t>
  </si>
  <si>
    <t>Sp1</t>
  </si>
  <si>
    <t>Sp2</t>
  </si>
  <si>
    <t>Sp3</t>
  </si>
  <si>
    <t>Sp4</t>
  </si>
  <si>
    <t>Vainqueur</t>
  </si>
  <si>
    <t>Finale</t>
  </si>
  <si>
    <t>Demi-finales</t>
  </si>
  <si>
    <t>Quarts de finale</t>
  </si>
  <si>
    <t>Groupe A</t>
  </si>
  <si>
    <t>Groupe B</t>
  </si>
  <si>
    <t>Groupe C</t>
  </si>
  <si>
    <t>Groupe D</t>
  </si>
  <si>
    <t>BP</t>
  </si>
  <si>
    <t>BC</t>
  </si>
  <si>
    <t>Ne pas toucher cette partie des calculs, sinon :</t>
  </si>
  <si>
    <t xml:space="preserve">Inscrivez vos pronostics ou les résultats des matchs. </t>
  </si>
  <si>
    <t>Les calculs se feront automtiquement.</t>
  </si>
  <si>
    <t>Et les équipes se positionneront dans le tableau final.</t>
  </si>
  <si>
    <t>Découvrez d'autres trucs et astuces de XaMaLa !</t>
  </si>
  <si>
    <t>Finaliste</t>
  </si>
  <si>
    <t>Troisième</t>
  </si>
  <si>
    <t>Quatrième</t>
  </si>
  <si>
    <t>Petite Finale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</si>
  <si>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</si>
  <si>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</si>
  <si>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</si>
  <si>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</si>
  <si>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</si>
  <si>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</si>
  <si>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</si>
  <si>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</si>
  <si>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</si>
  <si>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</si>
  <si>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</si>
  <si>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</si>
  <si>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</si>
  <si>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</si>
  <si>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</si>
  <si>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</si>
  <si>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</si>
  <si>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</si>
  <si>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</si>
  <si>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</si>
  <si>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</si>
  <si>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</si>
  <si>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</si>
  <si>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</si>
  <si>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</si>
  <si>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</si>
  <si>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</si>
  <si>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</si>
  <si>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</si>
  <si>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</si>
  <si>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</si>
  <si>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sRk3</t>
  </si>
  <si>
    <t>sRk2</t>
  </si>
  <si>
    <t>sRk1</t>
  </si>
  <si>
    <t>sRk4</t>
  </si>
  <si>
    <t>Pen</t>
  </si>
  <si>
    <t>(Coupe du Monde de Rugby, Championnat de France de Foot,…)</t>
  </si>
  <si>
    <t>Pendant la compétition, les scores se mettront à jour automatiquement (connexion à interent requise)</t>
  </si>
  <si>
    <t xml:space="preserve">Faites vos paris entre amis ! </t>
  </si>
  <si>
    <t>Croatie</t>
  </si>
  <si>
    <t>Pologne</t>
  </si>
  <si>
    <t>Allemagne</t>
  </si>
  <si>
    <t>France</t>
  </si>
  <si>
    <t>Italie</t>
  </si>
  <si>
    <t>Espagne</t>
  </si>
  <si>
    <t>Russie</t>
  </si>
  <si>
    <t>Suède</t>
  </si>
  <si>
    <t>Grèce</t>
  </si>
  <si>
    <t>Avec le seul tableau respectant le règlement !</t>
  </si>
  <si>
    <t>T1x</t>
  </si>
  <si>
    <t>T2x</t>
  </si>
  <si>
    <t>T3x</t>
  </si>
  <si>
    <t>T4x</t>
  </si>
  <si>
    <t xml:space="preserve"> Règle d</t>
  </si>
  <si>
    <t>TXXX?</t>
  </si>
  <si>
    <t>Rep. Tchèque</t>
  </si>
  <si>
    <t>Pay Bas</t>
  </si>
  <si>
    <t>Danemark</t>
  </si>
  <si>
    <t>Protugal</t>
  </si>
  <si>
    <t>Irelande</t>
  </si>
  <si>
    <t>Angleterre</t>
  </si>
  <si>
    <t>Ukraine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</si>
</sst>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b/>
      <i/>
      <sz val="20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b/>
      <sz val="8"/>
      <color indexed="9"/>
      <name val="Arial"/>
      <family val="2"/>
    </font>
    <font>
      <u/>
      <sz val="8"/>
      <name val="Arial"/>
      <family val="2"/>
    </font>
    <font>
      <sz val="12"/>
      <name val="Arial"/>
      <family val="2"/>
    </font>
    <font>
      <sz val="8"/>
      <color indexed="13"/>
      <name val="Arial"/>
      <family val="2"/>
    </font>
    <font>
      <b/>
      <sz val="8"/>
      <color indexed="13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2"/>
      <color indexed="13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49">
    <xf numFmtId="0" fontId="0" fillId="0" borderId="0" xfId="0"/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Protection="1">
      <protection locked="0"/>
    </xf>
    <xf numFmtId="20" fontId="2" fillId="3" borderId="0" xfId="0" applyNumberFormat="1" applyFont="1" applyFill="1" applyBorder="1" applyProtection="1"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3" borderId="0" xfId="0" applyFont="1" applyFill="1" applyBorder="1" applyAlignment="1" applyProtection="1">
      <alignment horizontal="right"/>
      <protection locked="0"/>
    </xf>
    <xf numFmtId="0" fontId="2" fillId="3" borderId="0" xfId="0" applyFont="1" applyFill="1" applyProtection="1">
      <protection locked="0"/>
    </xf>
    <xf numFmtId="0" fontId="10" fillId="4" borderId="6" xfId="0" applyFont="1" applyFill="1" applyBorder="1" applyAlignment="1" applyProtection="1">
      <alignment horizontal="center"/>
      <protection locked="0"/>
    </xf>
    <xf numFmtId="0" fontId="10" fillId="4" borderId="2" xfId="0" applyFont="1" applyFill="1" applyBorder="1" applyAlignment="1" applyProtection="1">
      <alignment horizontal="center" vertical="center"/>
      <protection locked="0"/>
    </xf>
    <xf numFmtId="0" fontId="2" fillId="3" borderId="0" xfId="0" applyNumberFormat="1" applyFont="1" applyFill="1" applyBorder="1" applyProtection="1">
      <protection locked="0"/>
    </xf>
    <xf numFmtId="0" fontId="2" fillId="3" borderId="0" xfId="0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>
      <protection hidden="1"/>
    </xf>
    <xf numFmtId="0" fontId="2" fillId="3" borderId="0" xfId="0" applyFont="1" applyFill="1" applyBorder="1" applyProtection="1"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7" fillId="5" borderId="3" xfId="0" applyFont="1" applyFill="1" applyBorder="1" applyAlignment="1" applyProtection="1">
      <alignment horizontal="center" vertical="center"/>
      <protection hidden="1"/>
    </xf>
    <xf numFmtId="0" fontId="7" fillId="5" borderId="6" xfId="0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center" vertical="center"/>
      <protection hidden="1"/>
    </xf>
    <xf numFmtId="0" fontId="2" fillId="3" borderId="8" xfId="0" applyFont="1" applyFill="1" applyBorder="1" applyProtection="1">
      <protection hidden="1"/>
    </xf>
    <xf numFmtId="0" fontId="2" fillId="3" borderId="0" xfId="0" applyFont="1" applyFill="1" applyBorder="1" applyAlignment="1" applyProtection="1">
      <alignment horizontal="center"/>
      <protection hidden="1"/>
    </xf>
    <xf numFmtId="0" fontId="2" fillId="3" borderId="9" xfId="0" applyFont="1" applyFill="1" applyBorder="1" applyAlignment="1" applyProtection="1">
      <alignment horizontal="center"/>
      <protection hidden="1"/>
    </xf>
    <xf numFmtId="0" fontId="2" fillId="3" borderId="10" xfId="0" applyFont="1" applyFill="1" applyBorder="1" applyAlignment="1" applyProtection="1">
      <alignment horizontal="center"/>
      <protection hidden="1"/>
    </xf>
    <xf numFmtId="164" fontId="2" fillId="3" borderId="0" xfId="0" applyNumberFormat="1" applyFont="1" applyFill="1" applyBorder="1" applyAlignment="1" applyProtection="1">
      <alignment horizontal="center"/>
      <protection hidden="1"/>
    </xf>
    <xf numFmtId="164" fontId="2" fillId="3" borderId="10" xfId="0" applyNumberFormat="1" applyFont="1" applyFill="1" applyBorder="1" applyAlignment="1" applyProtection="1">
      <alignment horizontal="center"/>
      <protection hidden="1"/>
    </xf>
    <xf numFmtId="0" fontId="2" fillId="3" borderId="11" xfId="0" applyFont="1" applyFill="1" applyBorder="1" applyAlignment="1" applyProtection="1">
      <alignment horizontal="center"/>
      <protection hidden="1"/>
    </xf>
    <xf numFmtId="0" fontId="2" fillId="3" borderId="5" xfId="0" applyFont="1" applyFill="1" applyBorder="1" applyAlignment="1" applyProtection="1">
      <alignment horizontal="center"/>
      <protection hidden="1"/>
    </xf>
    <xf numFmtId="164" fontId="2" fillId="3" borderId="9" xfId="0" applyNumberFormat="1" applyFont="1" applyFill="1" applyBorder="1" applyAlignment="1" applyProtection="1">
      <alignment horizontal="center"/>
      <protection hidden="1"/>
    </xf>
    <xf numFmtId="0" fontId="2" fillId="3" borderId="12" xfId="0" applyFont="1" applyFill="1" applyBorder="1" applyProtection="1">
      <protection hidden="1"/>
    </xf>
    <xf numFmtId="0" fontId="2" fillId="3" borderId="13" xfId="0" applyFont="1" applyFill="1" applyBorder="1" applyAlignment="1" applyProtection="1">
      <alignment horizontal="center"/>
      <protection hidden="1"/>
    </xf>
    <xf numFmtId="164" fontId="2" fillId="3" borderId="13" xfId="0" applyNumberFormat="1" applyFont="1" applyFill="1" applyBorder="1" applyAlignment="1" applyProtection="1">
      <alignment horizontal="center"/>
      <protection hidden="1"/>
    </xf>
    <xf numFmtId="164" fontId="2" fillId="3" borderId="11" xfId="0" applyNumberFormat="1" applyFont="1" applyFill="1" applyBorder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164" fontId="2" fillId="3" borderId="0" xfId="0" applyNumberFormat="1" applyFont="1" applyFill="1" applyBorder="1" applyProtection="1">
      <protection hidden="1"/>
    </xf>
    <xf numFmtId="2" fontId="2" fillId="3" borderId="0" xfId="0" applyNumberFormat="1" applyFont="1" applyFill="1" applyBorder="1" applyProtection="1">
      <protection hidden="1"/>
    </xf>
    <xf numFmtId="0" fontId="2" fillId="3" borderId="9" xfId="0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3" borderId="13" xfId="0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hidden="1"/>
    </xf>
    <xf numFmtId="2" fontId="2" fillId="3" borderId="8" xfId="0" applyNumberFormat="1" applyFont="1" applyFill="1" applyBorder="1" applyAlignment="1" applyProtection="1">
      <alignment horizontal="center"/>
      <protection hidden="1"/>
    </xf>
    <xf numFmtId="2" fontId="2" fillId="3" borderId="12" xfId="0" applyNumberFormat="1" applyFont="1" applyFill="1" applyBorder="1" applyAlignment="1" applyProtection="1">
      <alignment horizontal="center"/>
      <protection hidden="1"/>
    </xf>
    <xf numFmtId="0" fontId="11" fillId="4" borderId="14" xfId="0" applyNumberFormat="1" applyFont="1" applyFill="1" applyBorder="1" applyProtection="1">
      <protection locked="0"/>
    </xf>
    <xf numFmtId="20" fontId="10" fillId="4" borderId="15" xfId="0" applyNumberFormat="1" applyFont="1" applyFill="1" applyBorder="1" applyProtection="1">
      <protection locked="0"/>
    </xf>
    <xf numFmtId="0" fontId="10" fillId="4" borderId="6" xfId="0" applyFont="1" applyFill="1" applyBorder="1" applyProtection="1">
      <protection locked="0"/>
    </xf>
    <xf numFmtId="0" fontId="10" fillId="4" borderId="4" xfId="0" applyNumberFormat="1" applyFont="1" applyFill="1" applyBorder="1" applyAlignment="1" applyProtection="1">
      <alignment horizontal="right"/>
      <protection locked="0"/>
    </xf>
    <xf numFmtId="0" fontId="11" fillId="4" borderId="14" xfId="0" applyFont="1" applyFill="1" applyBorder="1" applyAlignment="1" applyProtection="1">
      <alignment horizontal="left" vertical="center"/>
      <protection locked="0"/>
    </xf>
    <xf numFmtId="0" fontId="10" fillId="4" borderId="15" xfId="0" applyFont="1" applyFill="1" applyBorder="1" applyAlignment="1" applyProtection="1">
      <alignment horizontal="center" vertical="center"/>
      <protection locked="0"/>
    </xf>
    <xf numFmtId="16" fontId="2" fillId="3" borderId="14" xfId="0" applyNumberFormat="1" applyFont="1" applyFill="1" applyBorder="1" applyAlignment="1" applyProtection="1">
      <alignment wrapText="1"/>
      <protection locked="0"/>
    </xf>
    <xf numFmtId="20" fontId="2" fillId="3" borderId="2" xfId="0" applyNumberFormat="1" applyFont="1" applyFill="1" applyBorder="1" applyProtection="1">
      <protection locked="0"/>
    </xf>
    <xf numFmtId="0" fontId="2" fillId="3" borderId="14" xfId="0" applyFont="1" applyFill="1" applyBorder="1" applyProtection="1">
      <protection locked="0"/>
    </xf>
    <xf numFmtId="0" fontId="2" fillId="3" borderId="2" xfId="0" applyFont="1" applyFill="1" applyBorder="1" applyAlignment="1" applyProtection="1">
      <alignment horizontal="right"/>
      <protection locked="0"/>
    </xf>
    <xf numFmtId="0" fontId="11" fillId="4" borderId="14" xfId="0" applyFont="1" applyFill="1" applyBorder="1" applyProtection="1">
      <protection locked="0"/>
    </xf>
    <xf numFmtId="0" fontId="11" fillId="4" borderId="1" xfId="0" applyFont="1" applyFill="1" applyBorder="1" applyAlignment="1" applyProtection="1">
      <alignment horizontal="center"/>
      <protection locked="0"/>
    </xf>
    <xf numFmtId="0" fontId="11" fillId="4" borderId="14" xfId="0" applyFont="1" applyFill="1" applyBorder="1" applyAlignment="1" applyProtection="1">
      <alignment horizontal="center"/>
      <protection locked="0"/>
    </xf>
    <xf numFmtId="0" fontId="11" fillId="4" borderId="2" xfId="0" applyFont="1" applyFill="1" applyBorder="1" applyAlignment="1" applyProtection="1">
      <alignment horizontal="center"/>
      <protection locked="0"/>
    </xf>
    <xf numFmtId="16" fontId="2" fillId="3" borderId="9" xfId="0" applyNumberFormat="1" applyFont="1" applyFill="1" applyBorder="1" applyAlignment="1" applyProtection="1">
      <alignment wrapText="1"/>
      <protection locked="0"/>
    </xf>
    <xf numFmtId="20" fontId="2" fillId="3" borderId="10" xfId="0" applyNumberFormat="1" applyFont="1" applyFill="1" applyBorder="1" applyProtection="1">
      <protection locked="0"/>
    </xf>
    <xf numFmtId="0" fontId="2" fillId="3" borderId="9" xfId="0" applyFont="1" applyFill="1" applyBorder="1" applyProtection="1">
      <protection locked="0"/>
    </xf>
    <xf numFmtId="0" fontId="2" fillId="3" borderId="10" xfId="0" applyFont="1" applyFill="1" applyBorder="1" applyAlignment="1" applyProtection="1">
      <alignment horizontal="right"/>
      <protection locked="0"/>
    </xf>
    <xf numFmtId="0" fontId="2" fillId="3" borderId="8" xfId="0" applyFont="1" applyFill="1" applyBorder="1" applyAlignment="1" applyProtection="1">
      <alignment horizontal="center"/>
      <protection locked="0"/>
    </xf>
    <xf numFmtId="0" fontId="2" fillId="3" borderId="13" xfId="0" applyFont="1" applyFill="1" applyBorder="1" applyProtection="1">
      <protection locked="0"/>
    </xf>
    <xf numFmtId="0" fontId="2" fillId="3" borderId="12" xfId="0" applyFont="1" applyFill="1" applyBorder="1" applyAlignment="1" applyProtection="1">
      <alignment horizontal="center"/>
      <protection locked="0"/>
    </xf>
    <xf numFmtId="16" fontId="2" fillId="3" borderId="13" xfId="0" applyNumberFormat="1" applyFont="1" applyFill="1" applyBorder="1" applyAlignment="1" applyProtection="1">
      <alignment wrapText="1"/>
      <protection locked="0"/>
    </xf>
    <xf numFmtId="20" fontId="2" fillId="3" borderId="5" xfId="0" applyNumberFormat="1" applyFont="1" applyFill="1" applyBorder="1" applyProtection="1">
      <protection locked="0"/>
    </xf>
    <xf numFmtId="0" fontId="2" fillId="3" borderId="5" xfId="0" applyFont="1" applyFill="1" applyBorder="1" applyAlignment="1" applyProtection="1">
      <alignment horizontal="right"/>
      <protection locked="0"/>
    </xf>
    <xf numFmtId="0" fontId="12" fillId="3" borderId="0" xfId="0" applyFont="1" applyFill="1" applyProtection="1">
      <protection locked="0"/>
    </xf>
    <xf numFmtId="0" fontId="11" fillId="4" borderId="7" xfId="0" applyNumberFormat="1" applyFont="1" applyFill="1" applyBorder="1" applyProtection="1">
      <protection locked="0"/>
    </xf>
    <xf numFmtId="20" fontId="10" fillId="4" borderId="6" xfId="0" applyNumberFormat="1" applyFont="1" applyFill="1" applyBorder="1" applyProtection="1">
      <protection locked="0"/>
    </xf>
    <xf numFmtId="16" fontId="2" fillId="3" borderId="0" xfId="0" applyNumberFormat="1" applyFont="1" applyFill="1" applyBorder="1" applyAlignment="1" applyProtection="1">
      <alignment wrapText="1"/>
      <protection locked="0"/>
    </xf>
    <xf numFmtId="20" fontId="2" fillId="3" borderId="0" xfId="0" applyNumberFormat="1" applyFont="1" applyFill="1" applyBorder="1" applyAlignment="1" applyProtection="1">
      <alignment wrapText="1"/>
      <protection locked="0"/>
    </xf>
    <xf numFmtId="0" fontId="8" fillId="3" borderId="0" xfId="1" applyNumberFormat="1" applyFont="1" applyFill="1" applyBorder="1" applyAlignment="1" applyProtection="1">
      <alignment wrapText="1"/>
      <protection locked="0"/>
    </xf>
    <xf numFmtId="0" fontId="8" fillId="3" borderId="0" xfId="1" applyNumberFormat="1" applyFont="1" applyFill="1" applyBorder="1" applyAlignment="1" applyProtection="1">
      <alignment horizontal="right" wrapText="1"/>
      <protection locked="0"/>
    </xf>
    <xf numFmtId="0" fontId="3" fillId="4" borderId="15" xfId="0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1" fontId="2" fillId="3" borderId="8" xfId="0" applyNumberFormat="1" applyFont="1" applyFill="1" applyBorder="1" applyAlignment="1" applyProtection="1">
      <alignment horizontal="center"/>
      <protection locked="0"/>
    </xf>
    <xf numFmtId="1" fontId="2" fillId="3" borderId="12" xfId="0" applyNumberFormat="1" applyFont="1" applyFill="1" applyBorder="1" applyAlignment="1" applyProtection="1">
      <alignment horizontal="center"/>
      <protection locked="0"/>
    </xf>
    <xf numFmtId="0" fontId="11" fillId="4" borderId="3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Protection="1"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 applyProtection="1"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6" fillId="3" borderId="0" xfId="0" applyFont="1" applyFill="1" applyProtection="1">
      <protection locked="0"/>
    </xf>
    <xf numFmtId="0" fontId="5" fillId="3" borderId="0" xfId="0" applyFont="1" applyFill="1" applyProtection="1">
      <protection locked="0"/>
    </xf>
    <xf numFmtId="0" fontId="2" fillId="3" borderId="0" xfId="0" quotePrefix="1" applyFont="1" applyFill="1" applyProtection="1">
      <protection hidden="1"/>
    </xf>
    <xf numFmtId="0" fontId="2" fillId="3" borderId="0" xfId="0" quotePrefix="1" applyFont="1" applyFill="1" applyAlignment="1" applyProtection="1">
      <alignment horizontal="center"/>
      <protection hidden="1"/>
    </xf>
    <xf numFmtId="164" fontId="2" fillId="3" borderId="0" xfId="0" applyNumberFormat="1" applyFont="1" applyFill="1" applyProtection="1">
      <protection hidden="1"/>
    </xf>
    <xf numFmtId="0" fontId="12" fillId="3" borderId="0" xfId="0" applyFont="1" applyFill="1" applyProtection="1">
      <protection hidden="1"/>
    </xf>
    <xf numFmtId="0" fontId="15" fillId="3" borderId="0" xfId="0" applyFont="1" applyFill="1" applyProtection="1"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Protection="1"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12" fillId="3" borderId="3" xfId="0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13" fillId="3" borderId="0" xfId="0" applyFont="1" applyFill="1" applyAlignment="1" applyProtection="1">
      <alignment horizontal="left" vertic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4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center"/>
      <protection locked="0"/>
    </xf>
    <xf numFmtId="0" fontId="2" fillId="0" borderId="9" xfId="0" applyFont="1" applyFill="1" applyBorder="1" applyAlignment="1" applyProtection="1">
      <alignment horizontal="center"/>
      <protection locked="0"/>
    </xf>
    <xf numFmtId="0" fontId="2" fillId="0" borderId="10" xfId="0" applyFont="1" applyFill="1" applyBorder="1" applyAlignment="1" applyProtection="1">
      <alignment horizontal="center"/>
      <protection locked="0"/>
    </xf>
    <xf numFmtId="0" fontId="2" fillId="0" borderId="15" xfId="0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2" fillId="0" borderId="14" xfId="0" applyFont="1" applyFill="1" applyBorder="1" applyProtection="1">
      <protection locked="0"/>
    </xf>
    <xf numFmtId="0" fontId="2" fillId="0" borderId="9" xfId="0" applyFont="1" applyFill="1" applyBorder="1" applyProtection="1">
      <protection locked="0"/>
    </xf>
    <xf numFmtId="0" fontId="2" fillId="7" borderId="0" xfId="0" applyFont="1" applyFill="1" applyProtection="1">
      <protection locked="0"/>
    </xf>
    <xf numFmtId="0" fontId="16" fillId="3" borderId="0" xfId="0" applyFont="1" applyFill="1" applyAlignment="1" applyProtection="1">
      <alignment horizontal="left"/>
      <protection locked="0"/>
    </xf>
    <xf numFmtId="0" fontId="16" fillId="6" borderId="0" xfId="0" applyFont="1" applyFill="1" applyProtection="1">
      <protection locked="0"/>
    </xf>
    <xf numFmtId="0" fontId="16" fillId="8" borderId="0" xfId="0" applyFont="1" applyFill="1" applyProtection="1">
      <protection locked="0"/>
    </xf>
    <xf numFmtId="0" fontId="2" fillId="8" borderId="0" xfId="0" applyFont="1" applyFill="1" applyProtection="1">
      <protection locked="0"/>
    </xf>
    <xf numFmtId="0" fontId="19" fillId="3" borderId="0" xfId="0" applyFont="1" applyFill="1" applyAlignment="1" applyProtection="1">
      <alignment horizontal="center"/>
      <protection locked="0"/>
    </xf>
    <xf numFmtId="0" fontId="18" fillId="0" borderId="0" xfId="0" applyFont="1" applyAlignment="1">
      <alignment horizontal="left" wrapText="1"/>
    </xf>
    <xf numFmtId="0" fontId="18" fillId="3" borderId="0" xfId="0" applyFont="1" applyFill="1" applyProtection="1">
      <protection locked="0"/>
    </xf>
    <xf numFmtId="0" fontId="20" fillId="9" borderId="0" xfId="0" applyFont="1" applyFill="1" applyProtection="1">
      <protection locked="0"/>
    </xf>
    <xf numFmtId="0" fontId="2" fillId="9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2" fillId="3" borderId="15" xfId="0" applyFont="1" applyFill="1" applyBorder="1" applyProtection="1">
      <protection locked="0"/>
    </xf>
    <xf numFmtId="0" fontId="2" fillId="3" borderId="9" xfId="0" applyFont="1" applyFill="1" applyBorder="1" applyAlignment="1" applyProtection="1">
      <alignment horizontal="right"/>
      <protection locked="0"/>
    </xf>
    <xf numFmtId="0" fontId="2" fillId="3" borderId="13" xfId="0" applyFont="1" applyFill="1" applyBorder="1" applyAlignment="1" applyProtection="1">
      <alignment horizontal="right"/>
      <protection locked="0"/>
    </xf>
    <xf numFmtId="0" fontId="2" fillId="3" borderId="11" xfId="0" applyFont="1" applyFill="1" applyBorder="1" applyAlignment="1" applyProtection="1">
      <alignment horizontal="right"/>
      <protection locked="0"/>
    </xf>
    <xf numFmtId="0" fontId="2" fillId="3" borderId="2" xfId="0" applyFont="1" applyFill="1" applyBorder="1" applyAlignment="1" applyProtection="1">
      <alignment horizontal="center"/>
      <protection locked="0"/>
    </xf>
    <xf numFmtId="0" fontId="1" fillId="3" borderId="0" xfId="1" applyFill="1" applyAlignment="1" applyProtection="1">
      <protection locked="0"/>
    </xf>
    <xf numFmtId="0" fontId="1" fillId="3" borderId="0" xfId="1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14" fillId="3" borderId="0" xfId="1" applyFont="1" applyFill="1" applyAlignment="1" applyProtection="1">
      <alignment horizontal="center"/>
      <protection locked="0"/>
    </xf>
    <xf numFmtId="20" fontId="2" fillId="3" borderId="2" xfId="0" applyNumberFormat="1" applyFont="1" applyFill="1" applyBorder="1" applyAlignment="1" applyProtection="1">
      <alignment horizontal="center" vertical="center"/>
      <protection locked="0"/>
    </xf>
    <xf numFmtId="20" fontId="2" fillId="3" borderId="5" xfId="0" applyNumberFormat="1" applyFont="1" applyFill="1" applyBorder="1" applyAlignment="1" applyProtection="1">
      <alignment horizontal="center" vertical="center"/>
      <protection locked="0"/>
    </xf>
    <xf numFmtId="16" fontId="2" fillId="3" borderId="14" xfId="0" applyNumberFormat="1" applyFont="1" applyFill="1" applyBorder="1" applyAlignment="1" applyProtection="1">
      <alignment horizontal="center" vertical="center" wrapText="1"/>
      <protection locked="0"/>
    </xf>
    <xf numFmtId="16" fontId="2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17" fillId="4" borderId="14" xfId="0" applyFont="1" applyFill="1" applyBorder="1" applyAlignment="1" applyProtection="1">
      <alignment horizontal="center" vertical="center"/>
      <protection locked="0"/>
    </xf>
    <xf numFmtId="0" fontId="17" fillId="4" borderId="2" xfId="0" applyFont="1" applyFill="1" applyBorder="1" applyAlignment="1" applyProtection="1">
      <alignment horizontal="center" vertical="center"/>
      <protection locked="0"/>
    </xf>
    <xf numFmtId="0" fontId="17" fillId="4" borderId="13" xfId="0" applyFont="1" applyFill="1" applyBorder="1" applyAlignment="1" applyProtection="1">
      <alignment horizontal="center" vertical="center"/>
      <protection locked="0"/>
    </xf>
    <xf numFmtId="0" fontId="17" fillId="4" borderId="5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5" xfId="0" applyFont="1" applyFill="1" applyBorder="1" applyAlignment="1" applyProtection="1">
      <alignment horizontal="center" vertical="center"/>
      <protection locked="0"/>
    </xf>
    <xf numFmtId="0" fontId="16" fillId="3" borderId="2" xfId="0" applyFont="1" applyFill="1" applyBorder="1" applyAlignment="1" applyProtection="1">
      <alignment horizontal="center" vertical="center"/>
      <protection locked="0"/>
    </xf>
    <xf numFmtId="0" fontId="16" fillId="3" borderId="5" xfId="0" applyFont="1" applyFill="1" applyBorder="1" applyAlignment="1" applyProtection="1">
      <alignment horizontal="center" vertical="center"/>
      <protection locked="0"/>
    </xf>
    <xf numFmtId="0" fontId="1" fillId="3" borderId="0" xfId="1" applyFont="1" applyFill="1" applyAlignment="1" applyProtection="1">
      <alignment horizontal="center"/>
      <protection locked="0"/>
    </xf>
    <xf numFmtId="0" fontId="1" fillId="3" borderId="10" xfId="1" applyFont="1" applyFill="1" applyBorder="1" applyAlignment="1" applyProtection="1">
      <alignment horizontal="center"/>
      <protection locked="0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1" fillId="4" borderId="12" xfId="0" applyFont="1" applyFill="1" applyBorder="1" applyAlignment="1" applyProtection="1">
      <alignment horizontal="center" vertical="center"/>
      <protection locked="0"/>
    </xf>
    <xf numFmtId="0" fontId="17" fillId="4" borderId="15" xfId="0" applyFont="1" applyFill="1" applyBorder="1" applyAlignment="1" applyProtection="1">
      <alignment horizontal="center" vertical="center"/>
      <protection locked="0"/>
    </xf>
    <xf numFmtId="0" fontId="17" fillId="4" borderId="11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3"/>
      </font>
      <fill>
        <patternFill>
          <bgColor indexed="58"/>
        </patternFill>
      </fill>
    </dxf>
    <dxf>
      <font>
        <b/>
        <i val="0"/>
        <condense val="0"/>
        <extend val="0"/>
        <color indexed="16"/>
      </font>
      <fill>
        <patternFill>
          <bgColor indexed="52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ont>
        <b/>
        <color rgb="FFFFFFFF"/>
      </font>
      <fill>
        <patternFill patternType="solid">
          <fgColor rgb="FF4F81BD"/>
          <bgColor rgb="FF4F81BD"/>
        </patternFill>
      </fill>
    </dxf>
    <dxf>
      <font>
        <b/>
        <color rgb="FFFFFFFF"/>
      </font>
      <fill>
        <patternFill patternType="solid">
          <fgColor rgb="FF4F81BD"/>
          <bgColor rgb="FF4F81BD"/>
        </patternFill>
      </fill>
    </dxf>
    <dxf>
      <font>
        <b/>
        <color rgb="FFFFFFFF"/>
      </font>
      <fill>
        <patternFill patternType="solid">
          <fgColor rgb="FF4F81BD"/>
          <bgColor rgb="FF4F81BD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4F81BD"/>
          <bgColor rgb="FF4F81BD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BE5F1"/>
          <bgColor rgb="FFDBE5F1"/>
        </patternFill>
      </fill>
      <border>
        <vertical style="thin">
          <color rgb="FFFFFFFF"/>
        </vertical>
        <horizontal style="thin">
          <color rgb="FFFFFFFF"/>
        </horizontal>
      </border>
    </dxf>
  </dxfs>
  <tableStyles count="1" defaultTableStyle="TableStyleMedium9" defaultPivotStyle="PivotStyleLight16">
    <tableStyle name="TableStyleMedium9 2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logs.microsoft.fr/franckha/archive/2005/12/23/16777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CK60"/>
  <sheetViews>
    <sheetView showGridLines="0" tabSelected="1" zoomScale="120" zoomScaleNormal="120" workbookViewId="0">
      <selection activeCell="G38" sqref="G38"/>
    </sheetView>
  </sheetViews>
  <sheetFormatPr baseColWidth="10" defaultColWidth="11.44140625" defaultRowHeight="10.199999999999999" x14ac:dyDescent="0.2"/>
  <cols>
    <col min="1" max="1" width="2.44140625" style="9" customWidth="1"/>
    <col min="2" max="2" width="6.88671875" style="5" customWidth="1"/>
    <col min="3" max="3" width="5.33203125" style="6" bestFit="1" customWidth="1"/>
    <col min="4" max="4" width="9.88671875" style="5" bestFit="1" customWidth="1"/>
    <col min="5" max="6" width="2.6640625" style="7" customWidth="1"/>
    <col min="7" max="7" width="9.88671875" style="8" bestFit="1" customWidth="1"/>
    <col min="8" max="8" width="2.5546875" style="9" customWidth="1"/>
    <col min="9" max="9" width="2.88671875" style="9" customWidth="1"/>
    <col min="10" max="10" width="9.88671875" style="9" bestFit="1" customWidth="1"/>
    <col min="11" max="11" width="5.6640625" style="9" customWidth="1"/>
    <col min="12" max="12" width="5.5546875" style="9" customWidth="1"/>
    <col min="13" max="13" width="5.6640625" style="9" customWidth="1"/>
    <col min="14" max="14" width="5.44140625" style="9" customWidth="1"/>
    <col min="15" max="15" width="3.109375" style="9" customWidth="1"/>
    <col min="16" max="17" width="3.44140625" style="9" customWidth="1"/>
    <col min="18" max="18" width="2.33203125" style="9" customWidth="1"/>
    <col min="19" max="19" width="8.5546875" style="9" customWidth="1"/>
    <col min="20" max="20" width="6.44140625" style="9" customWidth="1"/>
    <col min="21" max="21" width="17.88671875" style="9" customWidth="1"/>
    <col min="22" max="22" width="2.6640625" style="9" customWidth="1"/>
    <col min="23" max="23" width="4.33203125" style="9" customWidth="1"/>
    <col min="24" max="24" width="8.33203125" style="9" customWidth="1"/>
    <col min="25" max="25" width="9.5546875" style="9" hidden="1" customWidth="1"/>
    <col min="26" max="26" width="10.109375" style="9" hidden="1" customWidth="1"/>
    <col min="27" max="27" width="17.6640625" style="9" hidden="1" customWidth="1"/>
    <col min="28" max="28" width="3" style="9" hidden="1" customWidth="1"/>
    <col min="29" max="29" width="3.88671875" style="9" hidden="1" customWidth="1"/>
    <col min="30" max="31" width="9.5546875" style="9" hidden="1" customWidth="1"/>
    <col min="32" max="36" width="9.5546875" style="15" hidden="1" customWidth="1"/>
    <col min="37" max="37" width="5.109375" style="15" hidden="1" customWidth="1"/>
    <col min="38" max="38" width="0" style="15" hidden="1" customWidth="1"/>
    <col min="39" max="39" width="3.33203125" style="15" hidden="1" customWidth="1"/>
    <col min="40" max="40" width="3.109375" style="15" hidden="1" customWidth="1"/>
    <col min="41" max="41" width="3.44140625" style="15" hidden="1" customWidth="1"/>
    <col min="42" max="42" width="3.33203125" style="15" hidden="1" customWidth="1"/>
    <col min="43" max="43" width="5.88671875" style="15" hidden="1" customWidth="1"/>
    <col min="44" max="46" width="4" style="15" hidden="1" customWidth="1"/>
    <col min="47" max="47" width="5.5546875" style="15" hidden="1" customWidth="1"/>
    <col min="48" max="50" width="5.88671875" style="15" hidden="1" customWidth="1"/>
    <col min="51" max="54" width="6" style="15" hidden="1" customWidth="1"/>
    <col min="55" max="57" width="5.44140625" style="15" hidden="1" customWidth="1"/>
    <col min="58" max="58" width="6" style="15" hidden="1" customWidth="1"/>
    <col min="59" max="59" width="5.88671875" style="15" hidden="1" customWidth="1"/>
    <col min="60" max="70" width="5.6640625" style="15" hidden="1" customWidth="1"/>
    <col min="71" max="74" width="6.109375" style="15" hidden="1" customWidth="1"/>
    <col min="75" max="78" width="5.5546875" style="9" hidden="1" customWidth="1"/>
    <col min="79" max="82" width="6.5546875" style="9" hidden="1" customWidth="1"/>
    <col min="83" max="83" width="7.33203125" style="9" hidden="1" customWidth="1"/>
    <col min="84" max="88" width="9.33203125" style="9" hidden="1" customWidth="1"/>
    <col min="89" max="90" width="0" style="9" hidden="1" customWidth="1"/>
    <col min="91" max="16384" width="11.44140625" style="9"/>
  </cols>
  <sheetData>
    <row r="1" spans="2:89" ht="15.75" customHeight="1" x14ac:dyDescent="0.3">
      <c r="E1" s="110" t="s">
        <v>88</v>
      </c>
      <c r="K1" s="111" t="s">
        <v>98</v>
      </c>
      <c r="L1" s="109"/>
      <c r="M1" s="109"/>
      <c r="N1" s="109"/>
      <c r="O1" s="109"/>
      <c r="P1" s="82"/>
      <c r="Q1" s="82"/>
      <c r="R1" s="82"/>
      <c r="S1" s="82"/>
      <c r="T1" s="82"/>
      <c r="U1" s="119"/>
      <c r="V1" s="119"/>
      <c r="W1" s="119"/>
      <c r="Z1" s="112"/>
      <c r="AA1" s="113"/>
    </row>
    <row r="2" spans="2:89" ht="14.25" customHeight="1" x14ac:dyDescent="0.4">
      <c r="E2" s="95" t="s">
        <v>42</v>
      </c>
      <c r="K2" s="83"/>
      <c r="N2" s="128"/>
      <c r="O2" s="128"/>
      <c r="P2" s="128"/>
      <c r="Q2" s="128"/>
      <c r="R2" s="128"/>
      <c r="S2" s="128"/>
      <c r="T2" s="128"/>
      <c r="U2" s="128"/>
      <c r="AF2" s="126" t="s">
        <v>45</v>
      </c>
      <c r="AG2" s="126"/>
      <c r="AH2" s="126"/>
      <c r="AI2" s="126"/>
      <c r="AJ2" s="126"/>
      <c r="AK2" s="126"/>
      <c r="AL2" s="126"/>
      <c r="AM2" s="126"/>
      <c r="BB2" s="86"/>
      <c r="BC2" s="87"/>
      <c r="BD2" s="34"/>
      <c r="BE2" s="34"/>
      <c r="BF2" s="34"/>
    </row>
    <row r="3" spans="2:89" ht="11.25" customHeight="1" x14ac:dyDescent="0.25">
      <c r="E3" s="96" t="s">
        <v>43</v>
      </c>
      <c r="K3" s="84"/>
      <c r="L3" s="85"/>
      <c r="M3" s="85"/>
      <c r="O3" s="90"/>
      <c r="AF3" s="127" t="s">
        <v>86</v>
      </c>
      <c r="AG3" s="127"/>
      <c r="AH3" s="127"/>
      <c r="AI3" s="127"/>
      <c r="AJ3" s="127"/>
      <c r="AK3" s="127"/>
      <c r="AL3" s="127"/>
      <c r="AM3" s="127"/>
      <c r="BB3" s="86"/>
      <c r="BC3" s="87"/>
      <c r="BD3" s="34"/>
      <c r="BE3" s="34"/>
      <c r="BF3" s="34"/>
    </row>
    <row r="4" spans="2:89" ht="13.2" x14ac:dyDescent="0.25">
      <c r="E4" s="96" t="s">
        <v>44</v>
      </c>
      <c r="O4" s="92"/>
      <c r="BC4" s="34"/>
      <c r="BD4" s="34"/>
      <c r="BE4" s="34"/>
      <c r="BF4" s="34"/>
    </row>
    <row r="5" spans="2:89" ht="20.25" customHeight="1" x14ac:dyDescent="0.2">
      <c r="E5" s="97" t="s">
        <v>87</v>
      </c>
      <c r="AJ5" s="16"/>
      <c r="BC5" s="34"/>
      <c r="BD5" s="34"/>
      <c r="BE5" s="34"/>
      <c r="BF5" s="34"/>
    </row>
    <row r="6" spans="2:89" x14ac:dyDescent="0.2">
      <c r="B6" s="44" t="s">
        <v>35</v>
      </c>
      <c r="C6" s="45"/>
      <c r="D6" s="46"/>
      <c r="E6" s="10"/>
      <c r="F6" s="10"/>
      <c r="G6" s="47"/>
      <c r="S6" s="48" t="s">
        <v>34</v>
      </c>
      <c r="T6" s="49"/>
      <c r="U6" s="49"/>
      <c r="V6" s="11"/>
      <c r="W6" s="79" t="s">
        <v>85</v>
      </c>
      <c r="AJ6" s="16" t="s">
        <v>50</v>
      </c>
      <c r="AK6" s="16" t="s">
        <v>51</v>
      </c>
      <c r="AL6" s="16" t="s">
        <v>52</v>
      </c>
      <c r="AM6" s="16" t="s">
        <v>53</v>
      </c>
      <c r="AN6" s="16" t="s">
        <v>54</v>
      </c>
      <c r="AO6" s="16" t="s">
        <v>55</v>
      </c>
      <c r="AP6" s="16" t="s">
        <v>56</v>
      </c>
      <c r="AQ6" s="16" t="s">
        <v>57</v>
      </c>
      <c r="AR6" s="16" t="s">
        <v>58</v>
      </c>
      <c r="AS6" s="16" t="s">
        <v>59</v>
      </c>
      <c r="AT6" s="16" t="s">
        <v>60</v>
      </c>
      <c r="AU6" s="16" t="s">
        <v>61</v>
      </c>
      <c r="AV6" s="16" t="s">
        <v>62</v>
      </c>
      <c r="AW6" s="16" t="s">
        <v>63</v>
      </c>
      <c r="AX6" s="16" t="s">
        <v>64</v>
      </c>
      <c r="AY6" s="16" t="s">
        <v>65</v>
      </c>
      <c r="AZ6" s="16" t="s">
        <v>66</v>
      </c>
      <c r="BA6" s="16" t="s">
        <v>67</v>
      </c>
      <c r="BB6" s="16" t="s">
        <v>68</v>
      </c>
      <c r="BC6" s="16" t="s">
        <v>40</v>
      </c>
      <c r="BD6" s="16" t="s">
        <v>69</v>
      </c>
      <c r="BE6" s="16" t="s">
        <v>70</v>
      </c>
      <c r="BF6" s="16" t="s">
        <v>71</v>
      </c>
      <c r="BG6" s="16" t="s">
        <v>72</v>
      </c>
      <c r="BH6" s="16" t="s">
        <v>73</v>
      </c>
      <c r="BI6" s="16" t="s">
        <v>74</v>
      </c>
      <c r="BJ6" s="16" t="s">
        <v>75</v>
      </c>
      <c r="BK6" s="16" t="s">
        <v>76</v>
      </c>
      <c r="BL6" s="16" t="s">
        <v>77</v>
      </c>
      <c r="BM6" s="16" t="s">
        <v>78</v>
      </c>
      <c r="BN6" s="16" t="s">
        <v>79</v>
      </c>
      <c r="BO6" s="16" t="s">
        <v>80</v>
      </c>
      <c r="BP6" s="16" t="s">
        <v>39</v>
      </c>
      <c r="BQ6" s="16" t="s">
        <v>80</v>
      </c>
      <c r="BR6" s="16" t="s">
        <v>39</v>
      </c>
      <c r="BT6" s="15">
        <f>IF($BL8,IF(E7-F7&lt;0,-0.5,IF(F7-E7&lt;0,0.5,0)),IF($BH8,IF($AY8&gt;$AY9,-0.5,IF($AY8&lt;$AY9,0.5,0)),IF($BI8,IF($AZ8&gt;$AZ9,-0.5, IF($AZ8&lt;$AZ9,0.5,0)),0)))</f>
        <v>0</v>
      </c>
      <c r="BV6" s="15">
        <f>F11-E11</f>
        <v>-1</v>
      </c>
    </row>
    <row r="7" spans="2:89" x14ac:dyDescent="0.2">
      <c r="B7" s="50">
        <v>38875</v>
      </c>
      <c r="C7" s="51">
        <v>0.75</v>
      </c>
      <c r="D7" s="52" t="s">
        <v>90</v>
      </c>
      <c r="E7" s="1">
        <v>1</v>
      </c>
      <c r="F7" s="1">
        <v>1</v>
      </c>
      <c r="G7" s="53" t="s">
        <v>97</v>
      </c>
      <c r="I7" s="7"/>
      <c r="J7" s="54" t="s">
        <v>35</v>
      </c>
      <c r="K7" s="55" t="s">
        <v>0</v>
      </c>
      <c r="L7" s="56" t="s">
        <v>39</v>
      </c>
      <c r="M7" s="57" t="s">
        <v>40</v>
      </c>
      <c r="N7" s="57" t="str">
        <f>"+/-"</f>
        <v>+/-</v>
      </c>
      <c r="S7" s="131">
        <v>39618</v>
      </c>
      <c r="T7" s="129">
        <v>0.86458333333333337</v>
      </c>
      <c r="U7" s="91" t="str">
        <f>IF(OR(I9&lt;2),"TIRAGE AU SORT",T(J8))</f>
        <v>Rep. Tchèque</v>
      </c>
      <c r="V7" s="2"/>
      <c r="W7" s="81"/>
      <c r="AJ7" s="16"/>
      <c r="AK7" s="17" t="s">
        <v>13</v>
      </c>
      <c r="AL7" s="18" t="s">
        <v>14</v>
      </c>
      <c r="AM7" s="19" t="s">
        <v>0</v>
      </c>
      <c r="AN7" s="17" t="s">
        <v>1</v>
      </c>
      <c r="AO7" s="19" t="s">
        <v>2</v>
      </c>
      <c r="AP7" s="20" t="s">
        <v>3</v>
      </c>
      <c r="AQ7" s="19" t="s">
        <v>4</v>
      </c>
      <c r="AR7" s="19" t="s">
        <v>5</v>
      </c>
      <c r="AS7" s="19" t="s">
        <v>6</v>
      </c>
      <c r="AT7" s="19" t="s">
        <v>7</v>
      </c>
      <c r="AU7" s="17" t="s">
        <v>27</v>
      </c>
      <c r="AV7" s="19" t="s">
        <v>28</v>
      </c>
      <c r="AW7" s="19" t="s">
        <v>29</v>
      </c>
      <c r="AX7" s="20" t="s">
        <v>30</v>
      </c>
      <c r="AY7" s="17" t="s">
        <v>16</v>
      </c>
      <c r="AZ7" s="19" t="s">
        <v>17</v>
      </c>
      <c r="BA7" s="19" t="s">
        <v>18</v>
      </c>
      <c r="BB7" s="20" t="s">
        <v>19</v>
      </c>
      <c r="BC7" s="17" t="s">
        <v>9</v>
      </c>
      <c r="BD7" s="19" t="s">
        <v>10</v>
      </c>
      <c r="BE7" s="19" t="s">
        <v>11</v>
      </c>
      <c r="BF7" s="20" t="s">
        <v>12</v>
      </c>
      <c r="BG7" s="17" t="s">
        <v>20</v>
      </c>
      <c r="BH7" s="19" t="s">
        <v>16</v>
      </c>
      <c r="BI7" s="19" t="s">
        <v>17</v>
      </c>
      <c r="BJ7" s="19" t="s">
        <v>18</v>
      </c>
      <c r="BK7" s="19" t="s">
        <v>19</v>
      </c>
      <c r="BL7" s="19" t="s">
        <v>8</v>
      </c>
      <c r="BM7" s="19" t="s">
        <v>21</v>
      </c>
      <c r="BN7" s="19" t="s">
        <v>22</v>
      </c>
      <c r="BO7" s="19" t="s">
        <v>23</v>
      </c>
      <c r="BP7" s="19" t="s">
        <v>24</v>
      </c>
      <c r="BQ7" s="19" t="s">
        <v>25</v>
      </c>
      <c r="BR7" s="19" t="s">
        <v>26</v>
      </c>
      <c r="BS7" s="17" t="s">
        <v>83</v>
      </c>
      <c r="BT7" s="19" t="s">
        <v>82</v>
      </c>
      <c r="BU7" s="19" t="s">
        <v>81</v>
      </c>
      <c r="BV7" s="20" t="s">
        <v>84</v>
      </c>
      <c r="BW7" s="52" t="s">
        <v>99</v>
      </c>
      <c r="BX7" s="120" t="s">
        <v>100</v>
      </c>
      <c r="BY7" s="120" t="s">
        <v>101</v>
      </c>
      <c r="BZ7" s="120" t="s">
        <v>102</v>
      </c>
      <c r="CA7" s="52" t="s">
        <v>103</v>
      </c>
      <c r="CB7" s="120" t="s">
        <v>99</v>
      </c>
      <c r="CC7" s="120" t="s">
        <v>100</v>
      </c>
      <c r="CD7" s="120" t="s">
        <v>101</v>
      </c>
      <c r="CE7" s="124" t="s">
        <v>102</v>
      </c>
      <c r="CF7" s="17" t="s">
        <v>20</v>
      </c>
      <c r="CG7" s="19" t="s">
        <v>16</v>
      </c>
      <c r="CH7" s="19" t="s">
        <v>17</v>
      </c>
      <c r="CI7" s="19" t="s">
        <v>18</v>
      </c>
      <c r="CJ7" s="19" t="s">
        <v>19</v>
      </c>
      <c r="CK7" s="9" t="s">
        <v>104</v>
      </c>
    </row>
    <row r="8" spans="2:89" x14ac:dyDescent="0.2">
      <c r="B8" s="58">
        <v>38875</v>
      </c>
      <c r="C8" s="59">
        <v>0.86458333333333337</v>
      </c>
      <c r="D8" s="5" t="s">
        <v>95</v>
      </c>
      <c r="E8" s="1">
        <v>4</v>
      </c>
      <c r="F8" s="1">
        <v>1</v>
      </c>
      <c r="G8" s="61" t="s">
        <v>105</v>
      </c>
      <c r="I8" s="76">
        <f>AH8</f>
        <v>1</v>
      </c>
      <c r="J8" s="105" t="str">
        <f>INDEX(AL8:AL11,MATCH(AJ8,$AK8:$AK11,0))</f>
        <v>Rep. Tchèque</v>
      </c>
      <c r="K8" s="99">
        <f>INDEX(AM8:AM11,MATCH(AJ8,$AK8:$AK11,0))</f>
        <v>6</v>
      </c>
      <c r="L8" s="100">
        <f>INDEX(AN8:AN11,MATCH(AJ8,$AK8:$AK11,0))</f>
        <v>4</v>
      </c>
      <c r="M8" s="99">
        <f>INDEX(AO8:AO11,MATCH(AJ8,$AK8:$AK11,0))</f>
        <v>5</v>
      </c>
      <c r="N8" s="101">
        <f>INDEX(AP8:AP11,MATCH(AJ8,$AK8:$AK11,0))</f>
        <v>-1</v>
      </c>
      <c r="S8" s="132"/>
      <c r="T8" s="130"/>
      <c r="U8" s="91" t="str">
        <f>IF(OR(I18&lt;3,I17&lt;2),"TIRAGE AU SORT",T(J17))</f>
        <v>Protugal</v>
      </c>
      <c r="V8" s="3"/>
      <c r="W8" s="81"/>
      <c r="AH8" s="88">
        <v>1</v>
      </c>
      <c r="AI8" s="35">
        <f>ROUND(AJ8,0)</f>
        <v>1</v>
      </c>
      <c r="AJ8" s="36">
        <f>MIN(AK8:AK11)</f>
        <v>0.98</v>
      </c>
      <c r="AK8" s="41">
        <f>SUM(BC8:BF8)+2.45</f>
        <v>3.95</v>
      </c>
      <c r="AL8" s="21" t="str">
        <f>D7</f>
        <v>Pologne</v>
      </c>
      <c r="AM8" s="22">
        <f>SUM(AQ8:AT8)</f>
        <v>2</v>
      </c>
      <c r="AN8" s="23">
        <f>E7+E9+F11</f>
        <v>2</v>
      </c>
      <c r="AO8" s="22">
        <f>F7+F9+E11</f>
        <v>3</v>
      </c>
      <c r="AP8" s="24">
        <f>AN8-AO8</f>
        <v>-1</v>
      </c>
      <c r="AQ8" s="22" t="s">
        <v>15</v>
      </c>
      <c r="AR8" s="22">
        <f>IF(ISBLANK(E7),0,IF(E7&gt;F7,3,IF(E7=F7,1,0)))</f>
        <v>1</v>
      </c>
      <c r="AS8" s="22">
        <f>IF(ISBLANK(E9),0,IF(E9&gt;F9,3,IF(E9=F9,1,0)))</f>
        <v>1</v>
      </c>
      <c r="AT8" s="22">
        <f>IF(ISBLANK(F11),0,IF(F11&gt;E11,3,IF(F11=E11,1,0)))</f>
        <v>0</v>
      </c>
      <c r="AU8" s="23" t="s">
        <v>15</v>
      </c>
      <c r="AV8" s="22" t="b">
        <f>(10*(AP8-AP9)+AN8-AN9&gt;0)</f>
        <v>0</v>
      </c>
      <c r="AW8" s="22" t="b">
        <f>10*(AP8-AP10)+AN8-AN10&gt;0</f>
        <v>0</v>
      </c>
      <c r="AX8" s="24" t="b">
        <f>10*(AP8-AP11)+AN8-AN11&gt;0</f>
        <v>0</v>
      </c>
      <c r="AY8" s="23">
        <f>10000*(AR8+AS8)+(E9-F9+E7-F7)*100+(E9+E7)</f>
        <v>20002</v>
      </c>
      <c r="AZ8" s="22">
        <f>10000*(AR8+AT8)+(E7-F7+F11-E11)*100+(E7+F11)</f>
        <v>9901</v>
      </c>
      <c r="BA8" s="22">
        <f>10000*(AS8+AT8)+(E9-F9+F11-E11)*100+(E9+F11)</f>
        <v>9901</v>
      </c>
      <c r="BB8" s="24" t="s">
        <v>15</v>
      </c>
      <c r="BC8" s="23" t="s">
        <v>15</v>
      </c>
      <c r="BD8" s="25">
        <f>IF($AM8&gt;$AM9,-0.5,IF($AM9&gt;$AM8,0.5,IF(CK8=1,CC8,IF(BX8&lt;&gt;0,BX8,IF(AV8,-0.5,IF(AU9,0.5,BT8))))))</f>
        <v>0.5</v>
      </c>
      <c r="BE8" s="25">
        <f>IF($AM8&gt;$AM10,-0.5,IF($AM10&gt;$AM8,0.5,IF(CK8=1,CD8,IF(BY8&lt;&gt;0,BY8,IF(AW8,-0.5,IF(AU10,0.5,BU8))))))</f>
        <v>0.5</v>
      </c>
      <c r="BF8" s="26">
        <f>IF($AM8&gt;$AM11,-0.5,IF($AM11&gt;$AM8,0.5,IF(CK8=1,CE8,IF(BZ8&lt;&gt;0,BZ8,IF(AX8,-0.5,IF(AU11,0.5,BV8))))))</f>
        <v>0.5</v>
      </c>
      <c r="BG8" s="27" t="b">
        <f>AND(AND(AM8=AM9,AM9=AM10,AM10=AM11),AND(AN8=AN9,AN9=AN10,AN10=AN11),AND(AO8=AO9,AO9=AO10,AO10=AO11))</f>
        <v>0</v>
      </c>
      <c r="BH8" s="27" t="b">
        <f>AND(NOT(BG8),AM8=AM9,AM8=AM10,AN8=AN9,AN8=AN10,AO8=AO9,AO8=AO10)</f>
        <v>0</v>
      </c>
      <c r="BI8" s="27" t="b">
        <f>AND(NOT(BG8),AM8=AM9,AM8=AM11,AN8=AN9,AN8=AN11,AO8=AO9,AO8=AO11)</f>
        <v>0</v>
      </c>
      <c r="BJ8" s="27" t="b">
        <f>AND(NOT(BG8),AM8=AM10,AM8=AM11,AN8=AN10,AN8=AN11,AO8=AO10,AO8=AO11)</f>
        <v>0</v>
      </c>
      <c r="BK8" s="27" t="b">
        <f>AND(NOT(BG8),AM9=AM10,AM9=AM11,AN9=AN10,AN9=AN11,AO9=AO10,AO9=AO11)</f>
        <v>0</v>
      </c>
      <c r="BL8" s="27" t="b">
        <f>AND(NOT(BG8),NOT(BH8),NOT(BI8),AM8=AM9,AN8=AN9,AO8=AO9)</f>
        <v>0</v>
      </c>
      <c r="BM8" s="27" t="b">
        <f>AND(NOT(BG8),NOT(BH8),NOT(BJ8),AM8=AM10,AN8=AN10,AO8=AO10)</f>
        <v>0</v>
      </c>
      <c r="BN8" s="27" t="b">
        <f>AND(NOT(BG8),NOT(BI8),NOT(BJ8),AM8=AM11,AN8=AN11,AO8=AO11)</f>
        <v>0</v>
      </c>
      <c r="BO8" s="27" t="b">
        <f>AND(NOT(BG8),NOT(BH8),NOT(BK8),AM9=AM10,AN9=AN10)</f>
        <v>0</v>
      </c>
      <c r="BP8" s="27" t="b">
        <f>AND(NOT(BG8),NOT(BI8),NOT(BK8),AM9=AM11,AN9=AN11,AO9=AO11)</f>
        <v>0</v>
      </c>
      <c r="BQ8" s="27" t="b">
        <f>AND(NOT(BG8),NOT(BJ8),NOT(BK8),AM10=AM11,AN10=AN11,AO10=AO11)</f>
        <v>0</v>
      </c>
      <c r="BR8" s="27" t="b">
        <f t="array" ref="BR8">AND(NOT(BG8:BQ8))</f>
        <v>1</v>
      </c>
      <c r="BS8" s="23" t="s">
        <v>15</v>
      </c>
      <c r="BT8" s="22">
        <f>IF($BL8,IF(F7-E7&lt;0,-0.5,IF(E7-F7&lt;0,0.5,0)),IF($BH8,IF($AY8&gt;$AY9,-0.5,IF($AY8&lt;$AY9,0.5,0)),IF($BI8,IF($AZ8&gt;$AZ9,-0.5, IF($AZ8&lt;$AZ9,0.5,0)),0)))</f>
        <v>0</v>
      </c>
      <c r="BU8" s="22">
        <f>IF($BM8,IF(F9-E9&lt;0,-0.5,IF(E9-F9&lt;0,0.5,0)),IF($BH8,IF($AY8&gt;$AY10,-0.5,IF($AY8&lt;$AY10,0.5,0)),IF($BJ8,IF($BA8&gt;$BA10,-0.5,IF($BA8&lt;$BA10,0.5,0)),0)))</f>
        <v>0</v>
      </c>
      <c r="BV8" s="24">
        <f>IF($BN8,IF(E11-F11&lt;0,-0.5,IF(F11-E11&lt;0,0.5,0)),IF($BI8,IF($AZ8&gt;$AZ11,-0.5,IF($AZ8&lt;$AZ11,0.5,0)),IF($BJ8,IF($BA8&gt;$BA11,-0.5, IF($BA8&lt;$BA11,0.5,0)),0)))</f>
        <v>0</v>
      </c>
      <c r="BW8" s="121" t="s">
        <v>15</v>
      </c>
      <c r="BX8" s="8">
        <f>IF(ISBLANK(E7),0,IF(AR8=0,0.5,IF(AR8=3,-0.5,0)))</f>
        <v>0</v>
      </c>
      <c r="BY8" s="8">
        <f>IF(ISBLANK(E9),0,IF(AS8=0,0.5,IF(AS8=3,-0.5,0)))</f>
        <v>0</v>
      </c>
      <c r="BZ8" s="8">
        <f>IF(ISBLANK(F11),0,IF(AT8=0,0.5,IF(AT8=3,-0.5,0)))</f>
        <v>0.5</v>
      </c>
      <c r="CA8" s="60"/>
      <c r="CB8" s="8" t="s">
        <v>15</v>
      </c>
      <c r="CC8" s="8">
        <f>IF(100*AP8+AN8&gt;=MAX(100*AP11+AN11,100*AP10+AN10),-0.5, 0.5)</f>
        <v>0.5</v>
      </c>
      <c r="CD8" s="8">
        <f>IF(100*AP8+AN8&gt;=MAX(100*AP9+AN9,100*AP11+AN11),-0.5, 0.5)</f>
        <v>0.5</v>
      </c>
      <c r="CE8" s="8">
        <f>IF(100*AP8+AN8&gt;=MAX(100*AP9+AN9,100*AP10+AN10),-0.5, 0.5)</f>
        <v>0.5</v>
      </c>
      <c r="CF8" s="27" t="b">
        <f>AND(AM8=AM9,AM9=AM10,AM10=AM11)</f>
        <v>0</v>
      </c>
      <c r="CG8" s="27">
        <f>IF(AND(NOT(CF8),AM8=AM9,AM8=AM10),1,0)</f>
        <v>0</v>
      </c>
      <c r="CH8" s="27">
        <f>IF(AND(NOT(CF8),AM8=AM9,AM8=AM11),1,0)</f>
        <v>0</v>
      </c>
      <c r="CI8" s="27">
        <f>IF(AND(NOT(CF8),AM8=AM10,AM8=AM11),1,0)</f>
        <v>0</v>
      </c>
      <c r="CJ8" s="27">
        <f>IF(AND(NOT(CF8),AM9=AM10,AM9=AM11),1,0)</f>
        <v>0</v>
      </c>
      <c r="CK8" s="9">
        <f>IF(OR(CH8,CI8,CJ8),1,0)</f>
        <v>0</v>
      </c>
    </row>
    <row r="9" spans="2:89" x14ac:dyDescent="0.2">
      <c r="B9" s="58">
        <v>38879</v>
      </c>
      <c r="C9" s="59">
        <v>0.86458333333333337</v>
      </c>
      <c r="D9" s="60" t="str">
        <f>D7</f>
        <v>Pologne</v>
      </c>
      <c r="E9" s="1">
        <v>1</v>
      </c>
      <c r="F9" s="1">
        <v>1</v>
      </c>
      <c r="G9" s="61" t="str">
        <f>D8</f>
        <v>Russie</v>
      </c>
      <c r="I9" s="77">
        <f>AH9</f>
        <v>2</v>
      </c>
      <c r="J9" s="106" t="str">
        <f>INDEX(AL8:AL11,MATCH(AJ9,$AK8:$AK11,0))</f>
        <v>Grèce</v>
      </c>
      <c r="K9" s="102">
        <f>INDEX(AM8:AM11,MATCH(AJ9,$AK8:$AK11,0))</f>
        <v>4</v>
      </c>
      <c r="L9" s="103">
        <f>INDEX(AN8:AN11,MATCH(AJ9,$AK8:$AK11,0))</f>
        <v>3</v>
      </c>
      <c r="M9" s="102">
        <f>INDEX(AO8:AO11,MATCH(AJ9,$AK8:$AK11,0))</f>
        <v>3</v>
      </c>
      <c r="N9" s="104">
        <f>INDEX(AP8:AP11,MATCH(AJ9,$AK8:$AK11,0))</f>
        <v>0</v>
      </c>
      <c r="S9" s="131">
        <v>39619</v>
      </c>
      <c r="T9" s="129">
        <v>0.86458333333333337</v>
      </c>
      <c r="U9" s="91" t="str">
        <f>IF(OR(I17&lt;2),"TIRAGE AU SORT",T(J16))</f>
        <v>Allemagne</v>
      </c>
      <c r="V9" s="2"/>
      <c r="W9" s="81"/>
      <c r="AH9" s="88">
        <f>IF(ROUNDUP(AJ9,0)=ROUNDUP(AJ8,0),AH8,2)</f>
        <v>2</v>
      </c>
      <c r="AI9" s="35">
        <f>ROUND(AJ9,0)</f>
        <v>2</v>
      </c>
      <c r="AJ9" s="36">
        <f>MAX(MIN(AK8:AK10),MIN(AK8,AK9,AK11),MIN(AK8,AK10,AK11),MIN(AK9:AK11))</f>
        <v>1.96</v>
      </c>
      <c r="AK9" s="42">
        <f>SUM(BC9:BF9)+2.46</f>
        <v>1.96</v>
      </c>
      <c r="AL9" s="21" t="str">
        <f>G7</f>
        <v>Grèce</v>
      </c>
      <c r="AM9" s="22">
        <f>SUM(AQ9:AT9)</f>
        <v>4</v>
      </c>
      <c r="AN9" s="23">
        <f>F7+F10+E12</f>
        <v>3</v>
      </c>
      <c r="AO9" s="22">
        <f>E7+E10+F12</f>
        <v>3</v>
      </c>
      <c r="AP9" s="24">
        <f>AN9-AO9</f>
        <v>0</v>
      </c>
      <c r="AQ9" s="22">
        <f>IF(ISBLANK(F7),0,IF(AR8=3,0,IF(AR8=1,1,3)))</f>
        <v>1</v>
      </c>
      <c r="AR9" s="22" t="s">
        <v>15</v>
      </c>
      <c r="AS9" s="22">
        <f>IF(ISBLANK(E12),0,IF(AR10=3,0,IF(AR10=1,1,3)))</f>
        <v>3</v>
      </c>
      <c r="AT9" s="22">
        <f>IF(ISBLANK(F10),0,IF(F10&gt;E10,3,IF(F10=E10,1,0)))</f>
        <v>0</v>
      </c>
      <c r="AU9" s="23" t="b">
        <f>(10*(AP8-AP9)+AN8-AN9&lt;0)</f>
        <v>1</v>
      </c>
      <c r="AV9" s="22" t="s">
        <v>15</v>
      </c>
      <c r="AW9" s="22" t="b">
        <f>10*(AP9-AP10)+AN9-AN10&gt;0</f>
        <v>0</v>
      </c>
      <c r="AX9" s="24" t="b">
        <f>10*(AP9-AP11)+AN9-AN11&gt;0</f>
        <v>1</v>
      </c>
      <c r="AY9" s="23">
        <f>10000*(AQ9+AS9)+(F7-E7+E12-F12)*100+(F7+E12)</f>
        <v>40102</v>
      </c>
      <c r="AZ9" s="22">
        <f>10000*(AQ9+AT9)+(F7-E7+F10-E10)*100+(F7+F10)</f>
        <v>9902</v>
      </c>
      <c r="BA9" s="22" t="s">
        <v>15</v>
      </c>
      <c r="BB9" s="24">
        <f>10000*(AS9+AT9)+(F10-E10+E12-F12)*100+(F10+E12)</f>
        <v>30002</v>
      </c>
      <c r="BC9" s="29">
        <f>IF($AM8&gt;$AM9,0.5,IF($AM9&gt;$AM8,-0.5,IF(CK8=1,CB9,IF(BW9&lt;&gt;0,BW9,IF(AV8,0.5,IF(AU9,-0.5,BT8))))))</f>
        <v>-0.5</v>
      </c>
      <c r="BD9" s="22" t="s">
        <v>15</v>
      </c>
      <c r="BE9" s="25">
        <f>IF($AM9&gt;$AM10,-0.5,IF($AM10&gt;$AM9,0.5,IF(CK8=1,CD9,IF(BY9&lt;&gt;0,BY9,IF(AW9,-0.5,IF(AV10,0.5,BU9))))))</f>
        <v>-0.5</v>
      </c>
      <c r="BF9" s="26">
        <f>IF($AM9&gt;$AM11,-0.5,IF($AM11&gt;$AM9,0.5,IF(CK8=1,CE9,IF(BZ9&lt;&gt;0,BZ9,IF(AX9,-0.5,IF(AV11,0.5,BV9))))))</f>
        <v>0.5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23"/>
      <c r="BT9" s="22" t="s">
        <v>15</v>
      </c>
      <c r="BU9" s="22">
        <f>IF($BO8,IF(F12-E12&lt;0,-0.5,IF(E12-F12&lt;0,0.5,0)),IF($BH8,IF($AY9&gt;$AY10,-0.5,IF($AY9&lt;$AY10,0.5,0)),IF($BK8,IF($BB9&gt;$BB10,-0.5,IF($BB9&lt;$BB10,0.5,0)),0)))</f>
        <v>0</v>
      </c>
      <c r="BV9" s="24">
        <f>IF($BP8,IF(E10-F10&lt;0,-0.5,IF(F10-E10&lt;0,0.5,0)),IF($BI8,IF($AZ9&gt;$AZ11,-0.5,IF($AZ9&lt;$AZ11,0.5,0)),IF($BK8,IF($BB9&gt;$BB11,-0.5,IF($BB9&lt;$BB11,0.5,0)),0)))</f>
        <v>0</v>
      </c>
      <c r="BW9" s="121">
        <f>-BX8</f>
        <v>0</v>
      </c>
      <c r="BX9" s="8" t="s">
        <v>15</v>
      </c>
      <c r="BY9" s="8">
        <f>IF(ISBLANK(E12),0,IF(AS9=0,0.5,IF(AS9=3,-0.5,0)))</f>
        <v>-0.5</v>
      </c>
      <c r="BZ9" s="8">
        <f>IF(ISBLANK(F10),0,IF(AT9=0,0.5,IF(AT9=3,-0.5,0)))</f>
        <v>0.5</v>
      </c>
      <c r="CA9" s="60"/>
      <c r="CB9" s="8">
        <f>IF(100*AP9+AN9&gt;=MAX(100*AP10+AN10,100*AP11+AN11),-0.5, 0.5)</f>
        <v>0.5</v>
      </c>
      <c r="CC9" s="8" t="s">
        <v>15</v>
      </c>
      <c r="CD9" s="8">
        <f>IF(100*AP9+AN9&gt;=MAX(100*AP8+AN8,100*AP11+AN11),-0.5, 0.5)</f>
        <v>-0.5</v>
      </c>
      <c r="CE9" s="8">
        <f>IF(100*AP9+AN9&gt;=MAX(100*AP10+AN10,100*AP8+AN8),-0.5, 0.5)</f>
        <v>0.5</v>
      </c>
    </row>
    <row r="10" spans="2:89" x14ac:dyDescent="0.2">
      <c r="B10" s="58">
        <v>38879</v>
      </c>
      <c r="C10" s="59">
        <v>0.75</v>
      </c>
      <c r="D10" s="60" t="str">
        <f>G8</f>
        <v>Rep. Tchèque</v>
      </c>
      <c r="E10" s="1">
        <v>2</v>
      </c>
      <c r="F10" s="1">
        <v>1</v>
      </c>
      <c r="G10" s="61" t="str">
        <f>G7</f>
        <v>Grèce</v>
      </c>
      <c r="I10" s="77">
        <f>AH10</f>
        <v>3</v>
      </c>
      <c r="J10" s="60" t="str">
        <f>INDEX(AL8:AL11,MATCH(AJ10,$AK8:$AK11,0))</f>
        <v>Russie</v>
      </c>
      <c r="K10" s="62">
        <f>INDEX(AM8:AM11,MATCH(AJ10,$AK8:$AK11,0))</f>
        <v>4</v>
      </c>
      <c r="L10" s="37">
        <f>INDEX(AN8:AN11,MATCH(AJ10,$AK8:$AK11,0))</f>
        <v>5</v>
      </c>
      <c r="M10" s="62">
        <f>INDEX(AO8:AO11,MATCH(AJ10,$AK8:$AK11,0))</f>
        <v>3</v>
      </c>
      <c r="N10" s="98">
        <f>INDEX(AP8:AP11,MATCH(AJ10,$AK8:$AK11,0))</f>
        <v>2</v>
      </c>
      <c r="S10" s="132"/>
      <c r="T10" s="130"/>
      <c r="U10" s="91" t="str">
        <f>IF(OR(I10&lt;3,I9&lt;2),"TIRAGE AU SORT",T(J9))</f>
        <v>Grèce</v>
      </c>
      <c r="V10" s="3"/>
      <c r="W10" s="81"/>
      <c r="AH10" s="88">
        <f>IF(ROUNDUP(AJ10,0)=ROUNDUP(AJ9,0),AH9,3)</f>
        <v>3</v>
      </c>
      <c r="AI10" s="35">
        <f>ROUND(AJ10,0)</f>
        <v>3</v>
      </c>
      <c r="AJ10" s="36">
        <f>MIN(MAX(AK8:AK10),MAX(AK8,AK9,AK11),MAX(AK8,AK10,AK11),MAX(AK9:AK11))</f>
        <v>2.97</v>
      </c>
      <c r="AK10" s="42">
        <f>SUM(BC10:BF10)+2.47</f>
        <v>2.97</v>
      </c>
      <c r="AL10" s="21" t="str">
        <f>D8</f>
        <v>Russie</v>
      </c>
      <c r="AM10" s="22">
        <f>SUM(AQ10:AT10)</f>
        <v>4</v>
      </c>
      <c r="AN10" s="23">
        <f>E8+F9+F12</f>
        <v>5</v>
      </c>
      <c r="AO10" s="22">
        <f>F8+E9+E12</f>
        <v>3</v>
      </c>
      <c r="AP10" s="24">
        <f>AN10-AO10</f>
        <v>2</v>
      </c>
      <c r="AQ10" s="22">
        <f>IF(ISBLANK(F9),0,IF(AS8=3,0,IF(AS8=1,1,3)))</f>
        <v>1</v>
      </c>
      <c r="AR10" s="22">
        <f>IF(ISBLANK(F12),0,IF(F12&gt;E12,3,IF(F12=E12,1,0)))</f>
        <v>0</v>
      </c>
      <c r="AS10" s="22" t="s">
        <v>15</v>
      </c>
      <c r="AT10" s="22">
        <f>IF(ISBLANK(E8),0,IF(E8&gt;F8,3,IF(E8=F8,1,0)))</f>
        <v>3</v>
      </c>
      <c r="AU10" s="23" t="b">
        <f>10*(AP8-AP10)+AN8-AN10&lt;0</f>
        <v>1</v>
      </c>
      <c r="AV10" s="22" t="b">
        <f>10*(AP9-AP10)+AN9-AN10&lt;0</f>
        <v>1</v>
      </c>
      <c r="AW10" s="22" t="s">
        <v>15</v>
      </c>
      <c r="AX10" s="24" t="b">
        <f>10*(AP10-AP11)+AN10-AN11&gt;0</f>
        <v>1</v>
      </c>
      <c r="AY10" s="23">
        <f>10000*(AQ10+AR10)+(F9-E9+F12-E12)*100+(F9+F12)</f>
        <v>9901</v>
      </c>
      <c r="AZ10" s="22" t="s">
        <v>15</v>
      </c>
      <c r="BA10" s="22">
        <f>10000*(AQ10+AT10)+(E8-F8+F9-E9)*100+(E8+F9)</f>
        <v>40305</v>
      </c>
      <c r="BB10" s="24">
        <f>10000*(AR10+AT10)+(E8-F8+F12-E12)*100+(E8+F12)</f>
        <v>30204</v>
      </c>
      <c r="BC10" s="29">
        <f>IF($AM8&gt;$AM10,0.5,IF($AM10&gt;$AM8,-0.5,IF(CK8=1,CB10,IF(BW10&lt;&gt;0,BW10,IF(AW8,0.5,IF(AU10,-0.5,BU8))))))</f>
        <v>-0.5</v>
      </c>
      <c r="BD10" s="25">
        <f>IF($AM9&gt;$AM10,0.5,IF($AM10&gt;$AM9,-0.5,IF(CK8=1,CC10,IF(BX10&lt;&gt;0,BX10,IF(AW9,0.5,IF(AV10,-0.5,BU9))))))</f>
        <v>0.5</v>
      </c>
      <c r="BE10" s="25" t="s">
        <v>15</v>
      </c>
      <c r="BF10" s="26">
        <f>IF($AM10&gt;$AM11,-0.5,IF($AM11&gt;$AM10,0.5,IF(CK8=1,CE10,IF(BZ10&lt;&gt;0,BZ10,IF(AX10,-0.5,IF(AW11,0.5,BV10))))))</f>
        <v>0.5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23"/>
      <c r="BT10" s="22"/>
      <c r="BU10" s="22" t="s">
        <v>15</v>
      </c>
      <c r="BV10" s="24">
        <f>IF($BQ8,IF(F8-E8&lt;0,-0.5,IF(E8-F8&lt;0,0.5,0)),IF($BJ8,IF($BA10&gt;$BA11,-0.5,IF($BA10&lt;$BA11,0.5,0)),IF($BK8,IF($BB10&gt;$BB11,-0.5,IF($BB10&lt;$BB11,0.5,0)),0)))</f>
        <v>0</v>
      </c>
      <c r="BW10" s="121">
        <f>-BY8</f>
        <v>0</v>
      </c>
      <c r="BX10" s="8">
        <f>-BY9</f>
        <v>0.5</v>
      </c>
      <c r="BY10" s="8" t="s">
        <v>15</v>
      </c>
      <c r="BZ10" s="8">
        <f>IF(ISBLANK(E8),0,IF(AT10=0,0.5,IF(AT10=3,-0.5,0)))</f>
        <v>-0.5</v>
      </c>
      <c r="CA10" s="60"/>
      <c r="CB10" s="8">
        <f>IF(100*AP10+AN10&gt;=MAX(100*AP11+AN11,100*AP9+AN9),-0.5, 0.5)</f>
        <v>-0.5</v>
      </c>
      <c r="CC10" s="8">
        <f>IF(100*AP10+AN10&gt;=MAX(100*AP8+AN8,100*AP9+AN9),-0.5, 0.5)</f>
        <v>-0.5</v>
      </c>
      <c r="CD10" s="8" t="s">
        <v>15</v>
      </c>
      <c r="CE10" s="8">
        <f>IF(100*AP10+AN10&gt;=MAX(100*AP8+AN8,100*AP9+AN9),-0.5, 0.5)</f>
        <v>-0.5</v>
      </c>
    </row>
    <row r="11" spans="2:89" x14ac:dyDescent="0.2">
      <c r="B11" s="58">
        <v>38883</v>
      </c>
      <c r="C11" s="59">
        <v>0.86458333333333337</v>
      </c>
      <c r="D11" s="60" t="str">
        <f>G8</f>
        <v>Rep. Tchèque</v>
      </c>
      <c r="E11" s="1">
        <v>1</v>
      </c>
      <c r="F11" s="1">
        <v>0</v>
      </c>
      <c r="G11" s="61" t="str">
        <f>D7</f>
        <v>Pologne</v>
      </c>
      <c r="I11" s="78">
        <f>AH11</f>
        <v>4</v>
      </c>
      <c r="J11" s="63" t="str">
        <f>INDEX(AL8:AL11,MATCH(AJ11,$AK8:$AK11,0))</f>
        <v>Pologne</v>
      </c>
      <c r="K11" s="64">
        <f>INDEX(AM8:AM11,MATCH(AJ11,$AK8:$AK11,0))</f>
        <v>2</v>
      </c>
      <c r="L11" s="39">
        <f>INDEX(AN8:AN11,MATCH(AJ11,$AK8:$AK11,0))</f>
        <v>2</v>
      </c>
      <c r="M11" s="64">
        <f>INDEX(AO8:AO11,MATCH(AJ11,$AK8:$AK11,0))</f>
        <v>3</v>
      </c>
      <c r="N11" s="40">
        <f>INDEX(AP8:AP11,MATCH(AJ11,$AK8:$AK11,0))</f>
        <v>-1</v>
      </c>
      <c r="S11" s="131">
        <v>39620</v>
      </c>
      <c r="T11" s="129">
        <v>0.86458333333333337</v>
      </c>
      <c r="U11" s="91" t="str">
        <f>IF(OR(I25&lt;2),"TIRAGE AU SORT",T(J24))</f>
        <v>Espagne</v>
      </c>
      <c r="V11" s="2"/>
      <c r="W11" s="81"/>
      <c r="AH11" s="88">
        <f>IF(ROUNDUP(AJ11,0)=ROUNDUP(AJ10,0),AH10,4)</f>
        <v>4</v>
      </c>
      <c r="AI11" s="35">
        <f>ROUND(AJ11,0)</f>
        <v>4</v>
      </c>
      <c r="AJ11" s="36">
        <f>MAX(AK8:AK11)</f>
        <v>3.95</v>
      </c>
      <c r="AK11" s="43">
        <f>SUM(BC11:BF11)+2.48</f>
        <v>0.98</v>
      </c>
      <c r="AL11" s="30" t="str">
        <f>G8</f>
        <v>Rep. Tchèque</v>
      </c>
      <c r="AM11" s="27">
        <f>SUM(AQ11:AT11)</f>
        <v>6</v>
      </c>
      <c r="AN11" s="31">
        <f>F8+E10+E11</f>
        <v>4</v>
      </c>
      <c r="AO11" s="27">
        <f>E8+F10+F11</f>
        <v>5</v>
      </c>
      <c r="AP11" s="28">
        <f>AN11-AO11</f>
        <v>-1</v>
      </c>
      <c r="AQ11" s="27">
        <f>IF(ISBLANK(E11),0,IF(AT8=3,0,IF(AT8=1,1,3)))</f>
        <v>3</v>
      </c>
      <c r="AR11" s="27">
        <f>IF(ISBLANK(E10),0,IF(AT9=3,0,IF(AT9=1,1,3)))</f>
        <v>3</v>
      </c>
      <c r="AS11" s="27">
        <f>IF(ISBLANK(F8),0,IF(AT10=3,0,IF(AT10=1,1,3)))</f>
        <v>0</v>
      </c>
      <c r="AT11" s="27" t="s">
        <v>15</v>
      </c>
      <c r="AU11" s="31" t="b">
        <f>10*(AP8-AP11)+AN8-AN11&lt;0</f>
        <v>1</v>
      </c>
      <c r="AV11" s="27" t="b">
        <f>10*(AP9-AP11)+AN9-AN11&lt;0</f>
        <v>0</v>
      </c>
      <c r="AW11" s="27" t="b">
        <f>10*(AP10-AP11)+AN10-AN11&lt;0</f>
        <v>0</v>
      </c>
      <c r="AX11" s="28" t="s">
        <v>15</v>
      </c>
      <c r="AY11" s="31" t="s">
        <v>15</v>
      </c>
      <c r="AZ11" s="27">
        <f>10000*(AQ11+AR11)+(E11-F11+E10-F10)*100+(E11+E10)</f>
        <v>60203</v>
      </c>
      <c r="BA11" s="27">
        <f>10000*(AQ11+AS11)+(F8-E8+E11-F11)*100+(F8+E11)</f>
        <v>29802</v>
      </c>
      <c r="BB11" s="28">
        <f>10000*(AR11+AS11)+(E10-F10+F8-E8)*100+(E10+F8)</f>
        <v>29803</v>
      </c>
      <c r="BC11" s="32">
        <f>IF($AM8&gt;$AM11,0.5,IF($AM11&gt;$AM8,-0.5,IF(CK8=1,CB11,IF(BW11&lt;&gt;0,BW11,IF(AX8,0.5,IF(AU11,-0.5,BV8))))))</f>
        <v>-0.5</v>
      </c>
      <c r="BD11" s="33">
        <f>IF($AM9&gt;$AM11,0.5,IF($AM11&gt;$AM9,-0.5,IF(CK8=1,BX11,IF(BX11&lt;&gt;0,BX11,IF(AX9,0.5,IF(AV11,-0.5,BV9))))))</f>
        <v>-0.5</v>
      </c>
      <c r="BE11" s="33">
        <f>IF($AM10&gt;$AM11,0.5,IF($AM11&gt;$AM10,-0.5,IF(CK8=1,CD11,IF(BY11&lt;&gt;0,BY11,IF(AX10,0.5,IF(AW11,-0.5,BV10))))))</f>
        <v>-0.5</v>
      </c>
      <c r="BF11" s="28" t="s">
        <v>15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31"/>
      <c r="BT11" s="27"/>
      <c r="BU11" s="27"/>
      <c r="BV11" s="28" t="s">
        <v>15</v>
      </c>
      <c r="BW11" s="122">
        <f>-BZ8</f>
        <v>-0.5</v>
      </c>
      <c r="BX11" s="123">
        <f>-BZ9</f>
        <v>-0.5</v>
      </c>
      <c r="BY11" s="123">
        <f>-BZ10</f>
        <v>0.5</v>
      </c>
      <c r="BZ11" s="123" t="s">
        <v>15</v>
      </c>
      <c r="CA11" s="63"/>
      <c r="CB11" s="8">
        <f>IF(100*AP11+AN11&gt;=MAX(100*AP9+AN9,100*AP10+AN10),-0.5, 0.5)</f>
        <v>0.5</v>
      </c>
      <c r="CC11" s="8">
        <f>IF(100*AP11+AN11&gt;=MAX(100*AP8+AN8,100*AP10+AN10),-0.5, 0.5)</f>
        <v>0.5</v>
      </c>
      <c r="CD11" s="8">
        <f>IF(100*AP11+AN11&gt;=MAX(100*AP8+AN8,100*AP9+AN9),-0.5, 0.5)</f>
        <v>0.5</v>
      </c>
      <c r="CE11" s="67" t="s">
        <v>15</v>
      </c>
    </row>
    <row r="12" spans="2:89" x14ac:dyDescent="0.2">
      <c r="B12" s="65">
        <v>38883</v>
      </c>
      <c r="C12" s="66">
        <v>0.86458333333333337</v>
      </c>
      <c r="D12" s="63" t="str">
        <f>G7</f>
        <v>Grèce</v>
      </c>
      <c r="E12" s="1">
        <v>1</v>
      </c>
      <c r="F12" s="1">
        <v>0</v>
      </c>
      <c r="G12" s="67" t="str">
        <f>D8</f>
        <v>Russie</v>
      </c>
      <c r="I12" s="7"/>
      <c r="J12" s="68" t="str">
        <f>IF(OR(I10&lt;3,I9&lt;2),"TIRAGE AU SORT !!!"," ")</f>
        <v xml:space="preserve"> </v>
      </c>
      <c r="S12" s="132"/>
      <c r="T12" s="130"/>
      <c r="U12" s="91" t="str">
        <f>IF(OR(I34&lt;3,I33&lt;2),"TIRAGE AU SORT",T(J33))</f>
        <v>Angleterre</v>
      </c>
      <c r="V12" s="3"/>
      <c r="W12" s="81"/>
      <c r="AI12" s="36"/>
      <c r="AJ12" s="36"/>
      <c r="AK12" s="3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</row>
    <row r="13" spans="2:89" x14ac:dyDescent="0.2">
      <c r="D13" s="12"/>
      <c r="G13" s="13"/>
      <c r="I13" s="7"/>
      <c r="S13" s="131">
        <v>39621</v>
      </c>
      <c r="T13" s="129">
        <v>0.86458333333333337</v>
      </c>
      <c r="U13" s="91" t="str">
        <f>IF(OR(I33&lt;2),"TIRAGE AU SORT",T(J32))</f>
        <v>France</v>
      </c>
      <c r="V13" s="2"/>
      <c r="W13" s="81"/>
      <c r="AF13" s="89" t="s">
        <v>41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</row>
    <row r="14" spans="2:89" x14ac:dyDescent="0.2">
      <c r="B14" s="69" t="s">
        <v>36</v>
      </c>
      <c r="C14" s="70"/>
      <c r="D14" s="46"/>
      <c r="E14" s="10"/>
      <c r="F14" s="10"/>
      <c r="G14" s="47"/>
      <c r="I14" s="7"/>
      <c r="S14" s="132"/>
      <c r="T14" s="130"/>
      <c r="U14" s="93" t="str">
        <f>IF(OR(I26&lt;3,I25&lt;2),"TIRAGE AU SORT",T(J25))</f>
        <v>Croatie</v>
      </c>
      <c r="V14" s="3"/>
      <c r="W14" s="81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</row>
    <row r="15" spans="2:89" x14ac:dyDescent="0.2">
      <c r="B15" s="50">
        <v>38876</v>
      </c>
      <c r="C15" s="51">
        <v>0.75</v>
      </c>
      <c r="D15" s="52" t="s">
        <v>106</v>
      </c>
      <c r="E15" s="1">
        <v>0</v>
      </c>
      <c r="F15" s="1">
        <v>1</v>
      </c>
      <c r="G15" s="53" t="s">
        <v>107</v>
      </c>
      <c r="I15" s="7"/>
      <c r="J15" s="54" t="s">
        <v>36</v>
      </c>
      <c r="K15" s="55" t="s">
        <v>0</v>
      </c>
      <c r="L15" s="56" t="s">
        <v>39</v>
      </c>
      <c r="M15" s="57" t="s">
        <v>40</v>
      </c>
      <c r="N15" s="57" t="str">
        <f>"+/-"</f>
        <v>+/-</v>
      </c>
      <c r="AK15" s="17" t="s">
        <v>13</v>
      </c>
      <c r="AL15" s="18" t="s">
        <v>14</v>
      </c>
      <c r="AM15" s="19" t="s">
        <v>0</v>
      </c>
      <c r="AN15" s="17" t="s">
        <v>1</v>
      </c>
      <c r="AO15" s="19" t="s">
        <v>2</v>
      </c>
      <c r="AP15" s="20" t="s">
        <v>3</v>
      </c>
      <c r="AQ15" s="19" t="s">
        <v>4</v>
      </c>
      <c r="AR15" s="19" t="s">
        <v>5</v>
      </c>
      <c r="AS15" s="19" t="s">
        <v>6</v>
      </c>
      <c r="AT15" s="19" t="s">
        <v>7</v>
      </c>
      <c r="AU15" s="17" t="s">
        <v>27</v>
      </c>
      <c r="AV15" s="19" t="s">
        <v>28</v>
      </c>
      <c r="AW15" s="19" t="s">
        <v>29</v>
      </c>
      <c r="AX15" s="20" t="s">
        <v>30</v>
      </c>
      <c r="AY15" s="17" t="s">
        <v>16</v>
      </c>
      <c r="AZ15" s="19" t="s">
        <v>17</v>
      </c>
      <c r="BA15" s="19" t="s">
        <v>18</v>
      </c>
      <c r="BB15" s="20" t="s">
        <v>19</v>
      </c>
      <c r="BC15" s="17" t="s">
        <v>9</v>
      </c>
      <c r="BD15" s="19" t="s">
        <v>10</v>
      </c>
      <c r="BE15" s="19" t="s">
        <v>11</v>
      </c>
      <c r="BF15" s="20" t="s">
        <v>12</v>
      </c>
      <c r="BG15" s="17" t="s">
        <v>20</v>
      </c>
      <c r="BH15" s="19" t="s">
        <v>16</v>
      </c>
      <c r="BI15" s="19" t="s">
        <v>17</v>
      </c>
      <c r="BJ15" s="19" t="s">
        <v>18</v>
      </c>
      <c r="BK15" s="19" t="s">
        <v>19</v>
      </c>
      <c r="BL15" s="19" t="s">
        <v>8</v>
      </c>
      <c r="BM15" s="19" t="s">
        <v>21</v>
      </c>
      <c r="BN15" s="19" t="s">
        <v>22</v>
      </c>
      <c r="BO15" s="19" t="s">
        <v>23</v>
      </c>
      <c r="BP15" s="19" t="s">
        <v>24</v>
      </c>
      <c r="BQ15" s="19" t="s">
        <v>25</v>
      </c>
      <c r="BR15" s="20" t="s">
        <v>26</v>
      </c>
      <c r="BS15" s="17" t="s">
        <v>83</v>
      </c>
      <c r="BT15" s="19" t="s">
        <v>82</v>
      </c>
      <c r="BU15" s="19" t="s">
        <v>81</v>
      </c>
      <c r="BV15" s="20" t="s">
        <v>84</v>
      </c>
      <c r="BW15" s="52" t="s">
        <v>99</v>
      </c>
      <c r="BX15" s="120" t="s">
        <v>100</v>
      </c>
      <c r="BY15" s="120" t="s">
        <v>101</v>
      </c>
      <c r="BZ15" s="120" t="s">
        <v>102</v>
      </c>
      <c r="CA15" s="52" t="s">
        <v>103</v>
      </c>
      <c r="CB15" s="120" t="s">
        <v>99</v>
      </c>
      <c r="CC15" s="120" t="s">
        <v>100</v>
      </c>
      <c r="CD15" s="120" t="s">
        <v>101</v>
      </c>
      <c r="CE15" s="124" t="s">
        <v>102</v>
      </c>
      <c r="CF15" s="17" t="s">
        <v>20</v>
      </c>
      <c r="CG15" s="19" t="s">
        <v>16</v>
      </c>
      <c r="CH15" s="19" t="s">
        <v>17</v>
      </c>
      <c r="CI15" s="19" t="s">
        <v>18</v>
      </c>
      <c r="CJ15" s="19" t="s">
        <v>19</v>
      </c>
      <c r="CK15" s="9" t="s">
        <v>104</v>
      </c>
    </row>
    <row r="16" spans="2:89" x14ac:dyDescent="0.2">
      <c r="B16" s="58">
        <v>38876</v>
      </c>
      <c r="C16" s="59">
        <v>0.86458333333333337</v>
      </c>
      <c r="D16" s="60" t="s">
        <v>91</v>
      </c>
      <c r="E16" s="1">
        <v>1</v>
      </c>
      <c r="F16" s="1">
        <v>0</v>
      </c>
      <c r="G16" s="61" t="s">
        <v>108</v>
      </c>
      <c r="I16" s="76">
        <f>AH16</f>
        <v>1</v>
      </c>
      <c r="J16" s="107" t="str">
        <f>INDEX(AL16:AL19,MATCH(AJ16,$AK16:$AK19,0))</f>
        <v>Allemagne</v>
      </c>
      <c r="K16" s="99">
        <f>INDEX(AM16:AM19,MATCH(AJ16,$AK16:$AK19,0))</f>
        <v>6</v>
      </c>
      <c r="L16" s="100">
        <f>INDEX(AN16:AN19,MATCH(AJ16,$AK16:$AK19,0))</f>
        <v>3</v>
      </c>
      <c r="M16" s="99">
        <f>INDEX(AO16:AO19,MATCH(AJ16,$AK16:$AK19,0))</f>
        <v>1</v>
      </c>
      <c r="N16" s="101">
        <f>INDEX(AP16:AP19,MATCH(AJ16,$AK16:$AK19,0))</f>
        <v>2</v>
      </c>
      <c r="S16" s="48" t="s">
        <v>33</v>
      </c>
      <c r="T16" s="75"/>
      <c r="U16" s="75"/>
      <c r="V16" s="14"/>
      <c r="W16" s="79" t="s">
        <v>85</v>
      </c>
      <c r="AH16" s="88">
        <v>1</v>
      </c>
      <c r="AI16" s="35">
        <f>ROUND(AJ16,0)</f>
        <v>1</v>
      </c>
      <c r="AJ16" s="36">
        <f>MIN(AK16:AK19)</f>
        <v>0.9700000000000002</v>
      </c>
      <c r="AK16" s="41">
        <f>SUM(BC16:BF16)+2.45</f>
        <v>3.95</v>
      </c>
      <c r="AL16" s="21" t="str">
        <f>D15</f>
        <v>Pay Bas</v>
      </c>
      <c r="AM16" s="22">
        <f>SUM(AQ16:AT16)</f>
        <v>0</v>
      </c>
      <c r="AN16" s="23">
        <f>E15+E17+F19</f>
        <v>1</v>
      </c>
      <c r="AO16" s="22">
        <f>F15+F17+E19</f>
        <v>3</v>
      </c>
      <c r="AP16" s="24">
        <f>AN16-AO16</f>
        <v>-2</v>
      </c>
      <c r="AQ16" s="22" t="s">
        <v>15</v>
      </c>
      <c r="AR16" s="22">
        <f>IF(ISBLANK(E15),0,IF(E15&gt;F15,3,IF(E15=F15,1,0)))</f>
        <v>0</v>
      </c>
      <c r="AS16" s="22">
        <f>IF(ISBLANK(E17),0,IF(E17&gt;F17,3,IF(E17=F17,1,0)))</f>
        <v>0</v>
      </c>
      <c r="AT16" s="22">
        <f>IF(ISBLANK(F19),0,IF(F19&gt;E19,3,IF(F19=E19,1,0)))</f>
        <v>0</v>
      </c>
      <c r="AU16" s="23" t="s">
        <v>15</v>
      </c>
      <c r="AV16" s="22" t="b">
        <f>(10*(AP16-AP17)+AN16-AN17&gt;0)</f>
        <v>0</v>
      </c>
      <c r="AW16" s="22" t="b">
        <f>10*(AP16-AP18)+AN16-AN18&gt;0</f>
        <v>0</v>
      </c>
      <c r="AX16" s="24" t="b">
        <f>10*(AP16-AP19)+AN16-AN19&gt;0</f>
        <v>0</v>
      </c>
      <c r="AY16" s="23">
        <f>10000*(AR16+AS16)+(E17-F17+E15-F15)*100+(E17+E15)</f>
        <v>-199</v>
      </c>
      <c r="AZ16" s="22">
        <f>10000*(AR16+AT16)+(E15-F15+F19-E19)*100+(E15+F19)</f>
        <v>-100</v>
      </c>
      <c r="BA16" s="22">
        <f>10000*(AS16+AT16)+(F19-E19+E17-F17)*100+(F19+E17)</f>
        <v>-99</v>
      </c>
      <c r="BB16" s="24" t="s">
        <v>15</v>
      </c>
      <c r="BC16" s="23" t="s">
        <v>15</v>
      </c>
      <c r="BD16" s="25">
        <f>IF($AM16&gt;$AM17,-0.5,IF($AM17&gt;$AM16,0.5,IF(CK16=1,CC16,IF(BX16&lt;&gt;0,BX16,IF(AV16,-0.5,IF(AU17,0.5,BT16))))))</f>
        <v>0.5</v>
      </c>
      <c r="BE16" s="25">
        <f>IF($AM16&gt;$AM18,-0.5,IF($AM18&gt;$AM16,0.5,IF(CK16=1,CD16,IF(BY16&lt;&gt;0,BY16,IF(AW16,-0.5,IF(AU18,0.5,BU16))))))</f>
        <v>0.5</v>
      </c>
      <c r="BF16" s="26">
        <f>IF($AM16&gt;$AM19,-0.5,IF($AM19&gt;$AM16,0.5,IF(CK16=1,CE16,IF(BZ16&lt;&gt;0,BZ16,IF(AX16,-0.5,IF(AU19,0.5,BV16))))))</f>
        <v>0.5</v>
      </c>
      <c r="BG16" s="27" t="b">
        <f>AND(AND(AM16=AM17,AM17=AM18,AM18=AM19),AND(AN16=AN17,AN17=AN18,AN18=AN19),AND(AO16=AO17,AO17=AO18,AO18=AO19))</f>
        <v>0</v>
      </c>
      <c r="BH16" s="27" t="b">
        <f>AND(NOT(BG16),AM16=AM17,AM16=AM18,AN16=AN17,AN16=AN18,AO16=AO17,AO16=AO18)</f>
        <v>0</v>
      </c>
      <c r="BI16" s="27" t="b">
        <f>AND(NOT(BG16),AM16=AM17,AM16=AM19,AN16=AN17,AN16=AN19,AO16=AO17,AO16=AO19)</f>
        <v>0</v>
      </c>
      <c r="BJ16" s="27" t="b">
        <f>AND(NOT(BG16),AM16=AM18,AM16=AM19,AN16=AN18,AN16=AN19,AO16=AO18,AO16=AO19)</f>
        <v>0</v>
      </c>
      <c r="BK16" s="27" t="b">
        <f>AND(NOT(BG16),AM17=AM18,AM17=AM19,AN17=AN18,AN17=AN19,AO17=AO18,AO17=AO19)</f>
        <v>0</v>
      </c>
      <c r="BL16" s="27" t="b">
        <f>AND(NOT(BG16),NOT(BH16),NOT(BI16),AM16=AM17,AN16=AN17,AO16=AO17)</f>
        <v>0</v>
      </c>
      <c r="BM16" s="27" t="b">
        <f>AND(NOT(BG16),NOT(BH16),NOT(BJ16),AM16=AM18,AN16=AN18,AO16=AO18)</f>
        <v>0</v>
      </c>
      <c r="BN16" s="27" t="b">
        <f>AND(NOT(BG16),NOT(BI16),NOT(BJ16),AM16=AM19,AN16=AN19,AO16=AO19)</f>
        <v>0</v>
      </c>
      <c r="BO16" s="27" t="b">
        <f>AND(NOT(BG16),NOT(BH16),NOT(BK16),AM17=AM18,AN17=AN18)</f>
        <v>0</v>
      </c>
      <c r="BP16" s="27" t="b">
        <f>AND(NOT(BG16),NOT(BI16),NOT(BK16),AM17=AM19,AN17=AN19,AO17=AO19)</f>
        <v>1</v>
      </c>
      <c r="BQ16" s="27" t="b">
        <f>AND(NOT(BG16),NOT(BJ16),NOT(BK16),AM18=AM19,AN18=AN19,AO18=AO19)</f>
        <v>0</v>
      </c>
      <c r="BR16" s="27" t="b">
        <f t="array" ref="BR16">AND(NOT(BG16:BQ16))</f>
        <v>0</v>
      </c>
      <c r="BS16" s="23" t="s">
        <v>15</v>
      </c>
      <c r="BT16" s="22">
        <f>IF($BL16,IF(F15-E15&lt;0,-0.5,IF(E15-F15&lt;0,0.5,0)),IF($BH16,IF($AY16&gt;$AY17,-0.5,IF($AY16&lt;$AY17,0.5,0)),IF($BI16,IF($AZ16&gt;$AZ17,-0.5, IF($AZ16&lt;$AZ17,0.5,0)),0)))</f>
        <v>0</v>
      </c>
      <c r="BU16" s="22">
        <f>IF($BM16,IF(F17-E17&lt;0,-0.5,IF(E17-F17&lt;0,0.5,0)),IF($BH16,IF($AY16&gt;$AY18,-0.5,IF($AY16&lt;$AY18,0.5,0)),IF($BJ16,IF($BA16&gt;$BA18,-0.5,IF($BA16&lt;$BA18,0.5,0)),0)))</f>
        <v>0</v>
      </c>
      <c r="BV16" s="24">
        <f>IF($BN16,IF(E19-F19&lt;0,-0.5,IF(F19-E19&lt;0,0.5,0)),IF($BI16,IF($AZ16&gt;$AZ19,-0.5,IF($AZ16&lt;$AZ19,0.5,0)),IF($BJ16,IF($BA16&gt;$BA19,-0.5, IF($BA16&lt;$BA19,0.5,0)),0)))</f>
        <v>0</v>
      </c>
      <c r="BW16" s="121" t="s">
        <v>15</v>
      </c>
      <c r="BX16" s="8">
        <f>IF(ISBLANK(E15),0,IF(AR16=0,0.5,IF(AR16=3,-0.5,0)))</f>
        <v>0.5</v>
      </c>
      <c r="BY16" s="8">
        <f>IF(ISBLANK(E17),0,IF(AS16=0,0.5,IF(AS16=3,-0.5,0)))</f>
        <v>0.5</v>
      </c>
      <c r="BZ16" s="8">
        <f>IF(ISBLANK(F19),0,IF(AT16=0,0.5,IF(AT16=3,-0.5,0)))</f>
        <v>0</v>
      </c>
      <c r="CA16" s="60"/>
      <c r="CB16" s="8" t="s">
        <v>15</v>
      </c>
      <c r="CC16" s="8">
        <f>IF(100*AP16+AN16&gt;=MAX(100*AP19+AN19,100*AP18+AN18),-0.5, 0.5)</f>
        <v>0.5</v>
      </c>
      <c r="CD16" s="8">
        <f>IF(100*AP16+AN16&gt;=MAX(100*AP17+AN17,100*AP19+AN19),-0.5, 0.5)</f>
        <v>0.5</v>
      </c>
      <c r="CE16" s="8">
        <f>IF(100*AP16+AN16&gt;=MAX(100*AP17+AN17,100*AP18+AN18),-0.5, 0.5)</f>
        <v>0.5</v>
      </c>
      <c r="CF16" s="27" t="b">
        <f>AND(AM16=AM17,AM17=AM18,AM18=AM19)</f>
        <v>0</v>
      </c>
      <c r="CG16" s="27">
        <f>IF(AND(NOT(CF16),AM16=AM17,AM16=AM18),1,0)</f>
        <v>0</v>
      </c>
      <c r="CH16" s="27">
        <f>IF(AND(NOT(CF16),AM16=AM17,AM16=AM19),1,0)</f>
        <v>0</v>
      </c>
      <c r="CI16" s="27">
        <f>IF(AND(NOT(CF16),AM16=AM18,AM16=AM19),1,0)</f>
        <v>0</v>
      </c>
      <c r="CJ16" s="27">
        <f>IF(AND(NOT(CF16),AM17=AM18,AM17=AM19),1,0)</f>
        <v>0</v>
      </c>
      <c r="CK16" s="9">
        <f>IF(OR(CH16,CI16,CJ16),1,0)</f>
        <v>0</v>
      </c>
    </row>
    <row r="17" spans="2:89" x14ac:dyDescent="0.2">
      <c r="B17" s="58">
        <v>38880</v>
      </c>
      <c r="C17" s="59">
        <v>0.86458333333333337</v>
      </c>
      <c r="D17" s="60" t="str">
        <f>D15</f>
        <v>Pay Bas</v>
      </c>
      <c r="E17" s="1">
        <v>1</v>
      </c>
      <c r="F17" s="1">
        <v>2</v>
      </c>
      <c r="G17" s="61" t="str">
        <f>D16</f>
        <v>Allemagne</v>
      </c>
      <c r="I17" s="77">
        <f>AH17</f>
        <v>2</v>
      </c>
      <c r="J17" s="108" t="str">
        <f>INDEX(AL16:AL19,MATCH(AJ17,$AK16:$AK19,0))</f>
        <v>Protugal</v>
      </c>
      <c r="K17" s="102">
        <f>INDEX(AM16:AM19,MATCH(AJ17,$AK16:$AK19,0))</f>
        <v>3</v>
      </c>
      <c r="L17" s="103">
        <f>INDEX(AN16:AN19,MATCH(AJ17,$AK16:$AK19,0))</f>
        <v>3</v>
      </c>
      <c r="M17" s="102">
        <f>INDEX(AO16:AO19,MATCH(AJ17,$AK16:$AK19,0))</f>
        <v>3</v>
      </c>
      <c r="N17" s="104">
        <f>INDEX(AP16:AP19,MATCH(AJ17,$AK16:$AK19,0))</f>
        <v>0</v>
      </c>
      <c r="S17" s="131">
        <v>39624</v>
      </c>
      <c r="T17" s="129">
        <v>0.86458333333333337</v>
      </c>
      <c r="U17" s="93" t="str">
        <f>IF(100*V7+W7&gt;100*V8+W8,U7,IF(100*V7+W7&lt;100*V8+W8,U8,"-"))</f>
        <v>-</v>
      </c>
      <c r="V17" s="2"/>
      <c r="W17" s="81"/>
      <c r="AH17" s="88">
        <f>IF(ROUNDUP(AJ17,0)=ROUNDUP(AJ16,0),AH16,2)</f>
        <v>2</v>
      </c>
      <c r="AI17" s="35">
        <f>ROUND(AJ17,0)</f>
        <v>2</v>
      </c>
      <c r="AJ17" s="36">
        <f>MAX(MIN(AK16:AK18),MIN(AK16,AK17,AK19),MIN(AK16,AK18,AK19),MIN(AK17:AK19))</f>
        <v>1.98</v>
      </c>
      <c r="AK17" s="42">
        <f>SUM(BC17:BF17)+2.46</f>
        <v>2.96</v>
      </c>
      <c r="AL17" s="21" t="str">
        <f>G15</f>
        <v>Danemark</v>
      </c>
      <c r="AM17" s="22">
        <f>SUM(AQ17:AT17)</f>
        <v>3</v>
      </c>
      <c r="AN17" s="23">
        <f>F15+F18+E20</f>
        <v>3</v>
      </c>
      <c r="AO17" s="22">
        <f>E15+E18+F20</f>
        <v>3</v>
      </c>
      <c r="AP17" s="24">
        <f>AN17-AO17</f>
        <v>0</v>
      </c>
      <c r="AQ17" s="22">
        <f>IF(ISBLANK(F15),0,IF(AR16=3,0,IF(AR16=1,1,3)))</f>
        <v>3</v>
      </c>
      <c r="AR17" s="22" t="s">
        <v>15</v>
      </c>
      <c r="AS17" s="22">
        <f>IF(ISBLANK(E20),0,IF(AR18=3,0,IF(AR18=1,1,3)))</f>
        <v>0</v>
      </c>
      <c r="AT17" s="22">
        <f>IF(ISBLANK(F18),0,IF(F18&gt;E18,3,IF(F18=E18,1,0)))</f>
        <v>0</v>
      </c>
      <c r="AU17" s="23" t="b">
        <f>(10*(AP16-AP17)+AN16-AN17&lt;0)</f>
        <v>1</v>
      </c>
      <c r="AV17" s="22" t="s">
        <v>15</v>
      </c>
      <c r="AW17" s="22" t="b">
        <f>10*(AP17-AP18)+AN17-AN18&gt;0</f>
        <v>0</v>
      </c>
      <c r="AX17" s="24" t="b">
        <f>10*(AP17-AP19)+AN17-AN19&gt;0</f>
        <v>0</v>
      </c>
      <c r="AY17" s="23">
        <f>10000*(AQ17+AS17)+(F15-E15+E20-F20)*100+(F15+E20)</f>
        <v>30101</v>
      </c>
      <c r="AZ17" s="22">
        <f>10000*(AQ17+AT17)+(F15-E15+F18-E18)*100+(F15+F18)</f>
        <v>30003</v>
      </c>
      <c r="BA17" s="22" t="s">
        <v>15</v>
      </c>
      <c r="BB17" s="24">
        <f>10000*(AS17+AT17)+(F18-E18+E20-F20)*100+(F18+E20)</f>
        <v>-98</v>
      </c>
      <c r="BC17" s="29">
        <f>IF($AM16&gt;$AM17,0.5,IF($AM17&gt;$AM16,-0.5,IF(CK16=1,CB17,IF(BW17&lt;&gt;0,BW17,IF(AV16,0.5,IF(AU17,-0.5,BT16))))))</f>
        <v>-0.5</v>
      </c>
      <c r="BD17" s="22" t="s">
        <v>15</v>
      </c>
      <c r="BE17" s="25">
        <f>IF($AM17&gt;$AM18,-0.5,IF($AM18&gt;$AM17,0.5,IF(CK16=1,CD17,IF(BY17&lt;&gt;0,BY17,IF(AW17,-0.5,IF(AV18,0.5,BU17))))))</f>
        <v>0.5</v>
      </c>
      <c r="BF17" s="26">
        <f>IF($AM17&gt;$AM19,-0.5,IF($AM19&gt;$AM17,0.5,IF(CK16=1,CE17,IF(BZ17&lt;&gt;0,BZ17,IF(AX17,-0.5,IF(AV19,0.5,BV17))))))</f>
        <v>0.5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23"/>
      <c r="BT17" s="22" t="s">
        <v>15</v>
      </c>
      <c r="BU17" s="22">
        <f>IF($BO16,IF(F20-E20&lt;0,-0.5,IF(E20-F20&lt;0,0.5,0)),IF($BH16,IF($AY17&gt;$AY18,-0.5,IF($AY17&lt;$AY18,0.5,0)),IF($BK16,IF($BB17&gt;$BB18,-0.5,IF($BB17&lt;$BB18,0.5,0)),0)))</f>
        <v>0</v>
      </c>
      <c r="BV17" s="24">
        <f>IF($BP16,IF(E18-F18&lt;0,-0.5,IF(F18-E18&lt;0,0.5,0)),IF($BI16,IF($AZ17&gt;$AZ19,-0.5,IF($AZ17&lt;$AZ19,0.5,0)),IF($BK16,IF($BB17&gt;$BB19,-0.5,IF($BB17&lt;$BB19,0.5,0)),0)))</f>
        <v>0.5</v>
      </c>
      <c r="BW17" s="121">
        <f>-BX16</f>
        <v>-0.5</v>
      </c>
      <c r="BX17" s="8" t="s">
        <v>15</v>
      </c>
      <c r="BY17" s="8">
        <f>IF(ISBLANK(E20),0,IF(AS17=0,0.5,IF(AS17=3,-0.5,0)))</f>
        <v>0</v>
      </c>
      <c r="BZ17" s="8">
        <f>IF(ISBLANK(F18),0,IF(AT17=0,0.5,IF(AT17=3,-0.5,0)))</f>
        <v>0.5</v>
      </c>
      <c r="CA17" s="60"/>
      <c r="CB17" s="8">
        <f>IF(100*AP17+AN17&gt;=MAX(100*AP18+AN18,100*AP19+AN19),-0.5, 0.5)</f>
        <v>0.5</v>
      </c>
      <c r="CC17" s="8" t="s">
        <v>15</v>
      </c>
      <c r="CD17" s="8">
        <f>IF(100*AP17+AN17&gt;=MAX(100*AP16+AN16,100*AP19+AN19),-0.5, 0.5)</f>
        <v>-0.5</v>
      </c>
      <c r="CE17" s="8">
        <f>IF(100*AP17+AN17&gt;=MAX(100*AP18+AN18,100*AP16+AN16),-0.5, 0.5)</f>
        <v>0.5</v>
      </c>
    </row>
    <row r="18" spans="2:89" x14ac:dyDescent="0.2">
      <c r="B18" s="58">
        <v>38880</v>
      </c>
      <c r="C18" s="59">
        <v>0.75</v>
      </c>
      <c r="D18" s="60" t="str">
        <f>G16</f>
        <v>Protugal</v>
      </c>
      <c r="E18" s="1">
        <v>3</v>
      </c>
      <c r="F18" s="1">
        <v>2</v>
      </c>
      <c r="G18" s="61" t="str">
        <f>G15</f>
        <v>Danemark</v>
      </c>
      <c r="I18" s="77">
        <f>AH18</f>
        <v>3</v>
      </c>
      <c r="J18" s="60" t="str">
        <f>INDEX(AL16:AL19,MATCH(AJ18,$AK16:$AK19,0))</f>
        <v>Danemark</v>
      </c>
      <c r="K18" s="62">
        <f>INDEX(AM16:AM19,MATCH(AJ18,$AK16:$AK19,0))</f>
        <v>3</v>
      </c>
      <c r="L18" s="37">
        <f>INDEX(AN16:AN19,MATCH(AJ18,$AK16:$AK19,0))</f>
        <v>3</v>
      </c>
      <c r="M18" s="62">
        <f>INDEX(AO16:AO19,MATCH(AJ18,$AK16:$AK19,0))</f>
        <v>3</v>
      </c>
      <c r="N18" s="38">
        <f>INDEX(AP16:AP19,MATCH(AJ18,$AK16:$AK19,0))</f>
        <v>0</v>
      </c>
      <c r="S18" s="132"/>
      <c r="T18" s="130"/>
      <c r="U18" s="93" t="str">
        <f>IF(100*V9+W9&gt;100*V10+W10,U9,IF(100*V9+W9&lt;100*V10+W10,U10,"-"))</f>
        <v>-</v>
      </c>
      <c r="V18" s="3"/>
      <c r="W18" s="81"/>
      <c r="AG18" s="89"/>
      <c r="AH18" s="88">
        <f>IF(ROUNDUP(AJ18,0)=ROUNDUP(AJ17,0),AH17,3)</f>
        <v>3</v>
      </c>
      <c r="AI18" s="35">
        <f>ROUND(AJ18,0)</f>
        <v>3</v>
      </c>
      <c r="AJ18" s="36">
        <f>MIN(MAX(AK16:AK18),MAX(AK16,AK17,AK19),MAX(AK16,AK18,AK19),MAX(AK17:AK19))</f>
        <v>2.96</v>
      </c>
      <c r="AK18" s="42">
        <f>SUM(BC18:BF18)+2.47</f>
        <v>0.9700000000000002</v>
      </c>
      <c r="AL18" s="21" t="str">
        <f>D16</f>
        <v>Allemagne</v>
      </c>
      <c r="AM18" s="22">
        <f>SUM(AQ18:AT18)</f>
        <v>6</v>
      </c>
      <c r="AN18" s="23">
        <f>E16+F17+F20</f>
        <v>3</v>
      </c>
      <c r="AO18" s="22">
        <f>F16+E17+E20</f>
        <v>1</v>
      </c>
      <c r="AP18" s="24">
        <f>AN18-AO18</f>
        <v>2</v>
      </c>
      <c r="AQ18" s="22">
        <f>IF(ISBLANK(F17),0,IF(AS16=3,0,IF(AS16=1,1,3)))</f>
        <v>3</v>
      </c>
      <c r="AR18" s="22">
        <f>IF(ISBLANK(F20),0,IF(F20&gt;E20,3,IF(F20=E20,1,0)))</f>
        <v>0</v>
      </c>
      <c r="AS18" s="22" t="s">
        <v>15</v>
      </c>
      <c r="AT18" s="22">
        <f>IF(ISBLANK(E16),0,IF(E16&gt;F16,3,IF(E16=F16,1,0)))</f>
        <v>3</v>
      </c>
      <c r="AU18" s="23" t="b">
        <f>10*(AP16-AP18)+AN16-AN18&lt;0</f>
        <v>1</v>
      </c>
      <c r="AV18" s="22" t="b">
        <f>10*(AP17-AP18)+AN17-AN18&lt;0</f>
        <v>1</v>
      </c>
      <c r="AW18" s="22" t="s">
        <v>15</v>
      </c>
      <c r="AX18" s="24" t="b">
        <f>10*(AP18-AP19)+AN18-AN19&gt;0</f>
        <v>1</v>
      </c>
      <c r="AY18" s="23">
        <f>10000*(AQ18+AR18)+(F17-E17+F20-E20)*100+(F17+F20)</f>
        <v>30102</v>
      </c>
      <c r="AZ18" s="22" t="s">
        <v>15</v>
      </c>
      <c r="BA18" s="22">
        <f>10000*(AQ18+AT18)+(E16-F16+F17-E17)*100+(E16+F17)</f>
        <v>60203</v>
      </c>
      <c r="BB18" s="24">
        <f>10000*(AR18+AT18)+(E16-F16+F20-E20)*100+(E16+F20)</f>
        <v>30101</v>
      </c>
      <c r="BC18" s="29">
        <f>IF($AM16&gt;$AM18,0.5,IF($AM18&gt;$AM16,-0.5,IF(CK16=1,CB18,IF(BW18&lt;&gt;0,BW18,IF(AW16,0.5,IF(AU18,-0.5,BU16))))))</f>
        <v>-0.5</v>
      </c>
      <c r="BD18" s="25">
        <f>IF($AM17&gt;$AM18,0.5,IF($AM18&gt;$AM17,-0.5,IF(CK16=1,CC18,IF(BX18&lt;&gt;0,BX18,IF(AW17,0.5,IF(AV18,-0.5,BU17))))))</f>
        <v>-0.5</v>
      </c>
      <c r="BE18" s="25" t="s">
        <v>15</v>
      </c>
      <c r="BF18" s="26">
        <f>IF($AM18&gt;$AM19,-0.5,IF($AM19&gt;$AM18,0.5,IF(CK16=1,CE18,IF(BZ18&lt;&gt;0,BZ18,IF(AX18,-0.5,IF(AW19,0.5,BV18))))))</f>
        <v>-0.5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23"/>
      <c r="BT18" s="22"/>
      <c r="BU18" s="22" t="s">
        <v>15</v>
      </c>
      <c r="BV18" s="24">
        <f>IF($BQ16,IF(F16-E16&lt;0,-0.5,IF(E16-F16&lt;0,0.5,0)),IF($BJ16,IF($BA18&gt;$BA19,-0.5,IF($BA18&lt;$BA19,0.5,0)),IF($BK16,IF($BB18&gt;$BB19,-0.5,IF($BB18&lt;$BB19,0.5,0)),0)))</f>
        <v>0</v>
      </c>
      <c r="BW18" s="121">
        <f>-BY16</f>
        <v>-0.5</v>
      </c>
      <c r="BX18" s="8">
        <f>-BY17</f>
        <v>0</v>
      </c>
      <c r="BY18" s="8" t="s">
        <v>15</v>
      </c>
      <c r="BZ18" s="8">
        <f>IF(ISBLANK(E16),0,IF(AT18=0,0.5,IF(AT18=3,-0.5,0)))</f>
        <v>-0.5</v>
      </c>
      <c r="CA18" s="60"/>
      <c r="CB18" s="8">
        <f>IF(100*AP18+AN18&gt;=MAX(100*AP19+AN19,100*AP17+AN17),-0.5, 0.5)</f>
        <v>-0.5</v>
      </c>
      <c r="CC18" s="8">
        <f>IF(100*AP18+AN18&gt;=MAX(100*AP16+AN16,100*AP17+AN17),-0.5, 0.5)</f>
        <v>-0.5</v>
      </c>
      <c r="CD18" s="8" t="s">
        <v>15</v>
      </c>
      <c r="CE18" s="8">
        <f>IF(100*AP18+AN18&gt;=MAX(100*AP16+AN16,100*AP17+AN17),-0.5, 0.5)</f>
        <v>-0.5</v>
      </c>
    </row>
    <row r="19" spans="2:89" x14ac:dyDescent="0.2">
      <c r="B19" s="58">
        <v>38884</v>
      </c>
      <c r="C19" s="59">
        <v>0.86458333333333337</v>
      </c>
      <c r="D19" s="60" t="str">
        <f>G16</f>
        <v>Protugal</v>
      </c>
      <c r="E19" s="1"/>
      <c r="F19" s="1"/>
      <c r="G19" s="61" t="str">
        <f>D15</f>
        <v>Pay Bas</v>
      </c>
      <c r="I19" s="78">
        <f>AH19</f>
        <v>4</v>
      </c>
      <c r="J19" s="63" t="str">
        <f>INDEX(AL16:AL19,MATCH(AJ19,$AK16:$AK19,0))</f>
        <v>Pay Bas</v>
      </c>
      <c r="K19" s="64">
        <f>INDEX(AM16:AM19,MATCH(AJ19,$AK16:$AK19,0))</f>
        <v>0</v>
      </c>
      <c r="L19" s="39">
        <f>INDEX(AN16:AN19,MATCH(AJ19,$AK16:$AK19,0))</f>
        <v>1</v>
      </c>
      <c r="M19" s="64">
        <f>INDEX(AO16:AO19,MATCH(AJ19,$AK16:$AK19,0))</f>
        <v>3</v>
      </c>
      <c r="N19" s="40">
        <f>INDEX(AP16:AP19,MATCH(AJ19,$AK16:$AK19,0))</f>
        <v>-2</v>
      </c>
      <c r="S19" s="131">
        <v>39625</v>
      </c>
      <c r="T19" s="129">
        <v>0.86458333333333337</v>
      </c>
      <c r="U19" s="93" t="str">
        <f>IF(100*V11+W11&gt;100*V12+W12,U11,IF(100*V11+W11&lt;100*V12+W12,U12,"-"))</f>
        <v>-</v>
      </c>
      <c r="V19" s="2"/>
      <c r="W19" s="81"/>
      <c r="AH19" s="88">
        <f>IF(ROUNDUP(AJ19,0)=ROUNDUP(AJ18,0),AH18,4)</f>
        <v>4</v>
      </c>
      <c r="AI19" s="35">
        <f>ROUND(AJ19,0)</f>
        <v>4</v>
      </c>
      <c r="AJ19" s="36">
        <f>MAX(AK16:AK19)</f>
        <v>3.95</v>
      </c>
      <c r="AK19" s="43">
        <f>SUM(BC19:BF19)+2.48</f>
        <v>1.98</v>
      </c>
      <c r="AL19" s="30" t="str">
        <f>G16</f>
        <v>Protugal</v>
      </c>
      <c r="AM19" s="27">
        <f>SUM(AQ19:AT19)</f>
        <v>3</v>
      </c>
      <c r="AN19" s="31">
        <f>F16+E18+E19</f>
        <v>3</v>
      </c>
      <c r="AO19" s="27">
        <f>E16+F18+F19</f>
        <v>3</v>
      </c>
      <c r="AP19" s="28">
        <f>AN19-AO19</f>
        <v>0</v>
      </c>
      <c r="AQ19" s="27">
        <f>IF(ISBLANK(E19),0,IF(AT16=3,0,IF(AT16=1,1,3)))</f>
        <v>0</v>
      </c>
      <c r="AR19" s="27">
        <f>IF(ISBLANK(E18),0,IF(AT17=3,0,IF(AT17=1,1,3)))</f>
        <v>3</v>
      </c>
      <c r="AS19" s="27">
        <f>IF(ISBLANK(F16),0,IF(AT18=3,0,IF(AT18=1,1,3)))</f>
        <v>0</v>
      </c>
      <c r="AT19" s="27" t="s">
        <v>15</v>
      </c>
      <c r="AU19" s="31" t="b">
        <f>10*(AP16-AP19)+AN16-AN19&lt;0</f>
        <v>1</v>
      </c>
      <c r="AV19" s="27" t="b">
        <f>10*(AP17-AP19)+AN17-AN19&lt;0</f>
        <v>0</v>
      </c>
      <c r="AW19" s="27" t="b">
        <f>10*(AP18-AP19)+AN18-AN19&lt;0</f>
        <v>0</v>
      </c>
      <c r="AX19" s="28" t="s">
        <v>15</v>
      </c>
      <c r="AY19" s="31" t="s">
        <v>15</v>
      </c>
      <c r="AZ19" s="27">
        <f>10000*(AQ19+AR19)+(E18-F18+E19-F19)*100+(E18+E19)</f>
        <v>30103</v>
      </c>
      <c r="BA19" s="27">
        <f>10000*(AQ19+AS19)+(E19-F19+F16-E16)*100+(E19+F16)</f>
        <v>-100</v>
      </c>
      <c r="BB19" s="28">
        <f>10000*(AR19+AS19)+(E18-F18+F16-E16)*100+(E18+F16)</f>
        <v>30003</v>
      </c>
      <c r="BC19" s="32">
        <f>IF($AM16&gt;$AM19,0.5,IF($AM19&gt;$AM16,-0.5,IF(CK16=1,CB19,IF(BW19&lt;&gt;0,BW19,IF(AX16,0.5,IF(AU19,-0.5,BV16))))))</f>
        <v>-0.5</v>
      </c>
      <c r="BD19" s="33">
        <f>IF($AM17&gt;$AM19,0.5,IF($AM19&gt;$AM17,-0.5,IF(CK16=1,BX19,IF(BX19&lt;&gt;0,BX19,IF(AX17,0.5,IF(AV19,-0.5,BV17))))))</f>
        <v>-0.5</v>
      </c>
      <c r="BE19" s="33">
        <f>IF($AM18&gt;$AM19,0.5,IF($AM19&gt;$AM18,-0.5,IF(CK16=1,CD19,IF(BY19&lt;&gt;0,BY19,IF(AX18,0.5,IF(AW19,-0.5,BV18))))))</f>
        <v>0.5</v>
      </c>
      <c r="BF19" s="28" t="s">
        <v>15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31"/>
      <c r="BT19" s="27"/>
      <c r="BU19" s="27"/>
      <c r="BV19" s="28" t="s">
        <v>15</v>
      </c>
      <c r="BW19" s="122">
        <f>-BZ16</f>
        <v>0</v>
      </c>
      <c r="BX19" s="123">
        <f>-BZ17</f>
        <v>-0.5</v>
      </c>
      <c r="BY19" s="123">
        <f>-BZ18</f>
        <v>0.5</v>
      </c>
      <c r="BZ19" s="123" t="s">
        <v>15</v>
      </c>
      <c r="CA19" s="63"/>
      <c r="CB19" s="8">
        <f>IF(100*AP19+AN19&gt;=MAX(100*AP17+AN17,100*AP18+AN18),-0.5, 0.5)</f>
        <v>0.5</v>
      </c>
      <c r="CC19" s="8">
        <f>IF(100*AP19+AN19&gt;=MAX(100*AP16+AN16,100*AP18+AN18),-0.5, 0.5)</f>
        <v>0.5</v>
      </c>
      <c r="CD19" s="8">
        <f>IF(100*AP19+AN19&gt;=MAX(100*AP16+AN16,100*AP17+AN17),-0.5, 0.5)</f>
        <v>-0.5</v>
      </c>
      <c r="CE19" s="67" t="s">
        <v>15</v>
      </c>
    </row>
    <row r="20" spans="2:89" x14ac:dyDescent="0.2">
      <c r="B20" s="65">
        <v>38884</v>
      </c>
      <c r="C20" s="66">
        <v>0.86458333333333337</v>
      </c>
      <c r="D20" s="63" t="str">
        <f>G15</f>
        <v>Danemark</v>
      </c>
      <c r="E20" s="1"/>
      <c r="F20" s="1"/>
      <c r="G20" s="67" t="str">
        <f>D16</f>
        <v>Allemagne</v>
      </c>
      <c r="I20" s="7"/>
      <c r="J20" s="68" t="str">
        <f>IF(OR(I18&lt;3,I17&lt;2),"TIRAGE AU SORT !!!"," ")</f>
        <v xml:space="preserve"> </v>
      </c>
      <c r="S20" s="132"/>
      <c r="T20" s="130"/>
      <c r="U20" s="93" t="str">
        <f>IF(100*V13+W13&gt;100*V14+W14,U13,IF(100*V13+W13&lt;100*V14+W14,U14,"-"))</f>
        <v>-</v>
      </c>
      <c r="V20" s="3"/>
      <c r="W20" s="81"/>
    </row>
    <row r="21" spans="2:89" x14ac:dyDescent="0.2">
      <c r="B21" s="71"/>
      <c r="C21" s="72"/>
      <c r="D21" s="73"/>
      <c r="G21" s="74"/>
      <c r="I21" s="7"/>
    </row>
    <row r="22" spans="2:89" x14ac:dyDescent="0.2">
      <c r="B22" s="69" t="s">
        <v>37</v>
      </c>
      <c r="C22" s="70"/>
      <c r="D22" s="46"/>
      <c r="E22" s="10"/>
      <c r="F22" s="10"/>
      <c r="G22" s="47"/>
      <c r="I22" s="7"/>
      <c r="S22" s="135" t="s">
        <v>32</v>
      </c>
      <c r="T22" s="147"/>
      <c r="U22" s="147"/>
      <c r="V22" s="136"/>
      <c r="W22" s="145" t="s">
        <v>85</v>
      </c>
      <c r="Y22" s="135" t="s">
        <v>49</v>
      </c>
      <c r="Z22" s="147"/>
      <c r="AA22" s="147"/>
      <c r="AB22" s="136"/>
      <c r="AC22" s="145" t="s">
        <v>85</v>
      </c>
    </row>
    <row r="23" spans="2:89" x14ac:dyDescent="0.2">
      <c r="B23" s="50">
        <v>38877</v>
      </c>
      <c r="C23" s="51">
        <v>0.75</v>
      </c>
      <c r="D23" s="52" t="s">
        <v>94</v>
      </c>
      <c r="E23" s="1">
        <v>1</v>
      </c>
      <c r="F23" s="1">
        <v>1</v>
      </c>
      <c r="G23" s="53" t="s">
        <v>93</v>
      </c>
      <c r="I23" s="7"/>
      <c r="J23" s="54" t="s">
        <v>37</v>
      </c>
      <c r="K23" s="55" t="s">
        <v>0</v>
      </c>
      <c r="L23" s="56" t="s">
        <v>39</v>
      </c>
      <c r="M23" s="57" t="s">
        <v>40</v>
      </c>
      <c r="N23" s="57" t="str">
        <f>"+/-"</f>
        <v>+/-</v>
      </c>
      <c r="S23" s="137"/>
      <c r="T23" s="148"/>
      <c r="U23" s="148"/>
      <c r="V23" s="138"/>
      <c r="W23" s="146"/>
      <c r="Y23" s="137"/>
      <c r="Z23" s="148"/>
      <c r="AA23" s="148"/>
      <c r="AB23" s="138"/>
      <c r="AC23" s="146"/>
      <c r="AK23" s="17" t="s">
        <v>13</v>
      </c>
      <c r="AL23" s="18" t="s">
        <v>14</v>
      </c>
      <c r="AM23" s="19" t="s">
        <v>0</v>
      </c>
      <c r="AN23" s="17" t="s">
        <v>1</v>
      </c>
      <c r="AO23" s="19" t="s">
        <v>2</v>
      </c>
      <c r="AP23" s="20" t="s">
        <v>3</v>
      </c>
      <c r="AQ23" s="19" t="s">
        <v>4</v>
      </c>
      <c r="AR23" s="19" t="s">
        <v>5</v>
      </c>
      <c r="AS23" s="19" t="s">
        <v>6</v>
      </c>
      <c r="AT23" s="19" t="s">
        <v>7</v>
      </c>
      <c r="AU23" s="17" t="s">
        <v>27</v>
      </c>
      <c r="AV23" s="19" t="s">
        <v>28</v>
      </c>
      <c r="AW23" s="19" t="s">
        <v>29</v>
      </c>
      <c r="AX23" s="20" t="s">
        <v>30</v>
      </c>
      <c r="AY23" s="17" t="s">
        <v>16</v>
      </c>
      <c r="AZ23" s="19" t="s">
        <v>17</v>
      </c>
      <c r="BA23" s="19" t="s">
        <v>18</v>
      </c>
      <c r="BB23" s="20" t="s">
        <v>19</v>
      </c>
      <c r="BC23" s="17" t="s">
        <v>9</v>
      </c>
      <c r="BD23" s="19" t="s">
        <v>10</v>
      </c>
      <c r="BE23" s="19" t="s">
        <v>11</v>
      </c>
      <c r="BF23" s="20" t="s">
        <v>12</v>
      </c>
      <c r="BG23" s="17" t="s">
        <v>20</v>
      </c>
      <c r="BH23" s="19" t="s">
        <v>16</v>
      </c>
      <c r="BI23" s="19" t="s">
        <v>17</v>
      </c>
      <c r="BJ23" s="19" t="s">
        <v>18</v>
      </c>
      <c r="BK23" s="19" t="s">
        <v>19</v>
      </c>
      <c r="BL23" s="19" t="s">
        <v>8</v>
      </c>
      <c r="BM23" s="19" t="s">
        <v>21</v>
      </c>
      <c r="BN23" s="19" t="s">
        <v>22</v>
      </c>
      <c r="BO23" s="19" t="s">
        <v>23</v>
      </c>
      <c r="BP23" s="19" t="s">
        <v>24</v>
      </c>
      <c r="BQ23" s="19" t="s">
        <v>25</v>
      </c>
      <c r="BR23" s="20" t="s">
        <v>26</v>
      </c>
      <c r="BS23" s="17" t="s">
        <v>83</v>
      </c>
      <c r="BT23" s="19" t="s">
        <v>82</v>
      </c>
      <c r="BU23" s="19" t="s">
        <v>81</v>
      </c>
      <c r="BV23" s="20" t="s">
        <v>84</v>
      </c>
      <c r="BW23" s="52" t="s">
        <v>99</v>
      </c>
      <c r="BX23" s="120" t="s">
        <v>100</v>
      </c>
      <c r="BY23" s="120" t="s">
        <v>101</v>
      </c>
      <c r="BZ23" s="120" t="s">
        <v>102</v>
      </c>
      <c r="CA23" s="52" t="s">
        <v>103</v>
      </c>
      <c r="CB23" s="120" t="s">
        <v>99</v>
      </c>
      <c r="CC23" s="120" t="s">
        <v>100</v>
      </c>
      <c r="CD23" s="120" t="s">
        <v>101</v>
      </c>
      <c r="CE23" s="124" t="s">
        <v>102</v>
      </c>
      <c r="CF23" s="17" t="s">
        <v>20</v>
      </c>
      <c r="CG23" s="19" t="s">
        <v>16</v>
      </c>
      <c r="CH23" s="19" t="s">
        <v>17</v>
      </c>
      <c r="CI23" s="19" t="s">
        <v>18</v>
      </c>
      <c r="CJ23" s="19" t="s">
        <v>19</v>
      </c>
      <c r="CK23" s="9" t="s">
        <v>104</v>
      </c>
    </row>
    <row r="24" spans="2:89" x14ac:dyDescent="0.2">
      <c r="B24" s="58">
        <v>38877</v>
      </c>
      <c r="C24" s="59">
        <v>0.86458333333333337</v>
      </c>
      <c r="D24" s="60" t="s">
        <v>109</v>
      </c>
      <c r="E24" s="1">
        <v>1</v>
      </c>
      <c r="F24" s="1">
        <v>3</v>
      </c>
      <c r="G24" s="61" t="s">
        <v>89</v>
      </c>
      <c r="I24" s="76">
        <f>AH24</f>
        <v>1</v>
      </c>
      <c r="J24" s="107" t="str">
        <f>INDEX(AL24:AL27,MATCH(AJ24,$AK24:$AK27,0))</f>
        <v>Espagne</v>
      </c>
      <c r="K24" s="99">
        <f>INDEX(AM24:AM27,MATCH(AJ24,$AK24:$AK27,0))</f>
        <v>4</v>
      </c>
      <c r="L24" s="100">
        <f>INDEX(AN24:AN27,MATCH(AJ24,$AK24:$AK27,0))</f>
        <v>5</v>
      </c>
      <c r="M24" s="99">
        <f>INDEX(AO24:AO27,MATCH(AJ24,$AK24:$AK27,0))</f>
        <v>1</v>
      </c>
      <c r="N24" s="101">
        <f>INDEX(AP24:AP27,MATCH(AJ24,$AK24:$AK27,0))</f>
        <v>4</v>
      </c>
      <c r="S24" s="131">
        <v>39628</v>
      </c>
      <c r="T24" s="129">
        <v>0.86458333333333337</v>
      </c>
      <c r="U24" s="94" t="str">
        <f>IF(100*V17+W17&gt;100*V18+W18,U17,IF(100*V17+W17&lt;100*V18+W18,U18," - "))</f>
        <v xml:space="preserve"> - </v>
      </c>
      <c r="V24" s="2"/>
      <c r="W24" s="81"/>
      <c r="Y24" s="131">
        <v>39627</v>
      </c>
      <c r="Z24" s="129">
        <v>0.875</v>
      </c>
      <c r="AA24" s="81" t="str">
        <f>IF(100*V17+W17&gt;100*V18+W18,U18,IF(100*V17+W17&lt;100*V18+W18,U17," - "))</f>
        <v xml:space="preserve"> - </v>
      </c>
      <c r="AB24" s="4"/>
      <c r="AC24" s="81"/>
      <c r="AH24" s="88">
        <v>1</v>
      </c>
      <c r="AI24" s="35">
        <f>ROUND(AJ24,0)</f>
        <v>1</v>
      </c>
      <c r="AJ24" s="36">
        <f>MIN(AK24:AK27)</f>
        <v>0.95000000000000018</v>
      </c>
      <c r="AK24" s="41">
        <f>SUM(BC24:BF24)+2.45</f>
        <v>0.95000000000000018</v>
      </c>
      <c r="AL24" s="21" t="str">
        <f>D23</f>
        <v>Espagne</v>
      </c>
      <c r="AM24" s="22">
        <f>SUM(AQ24:AT24)</f>
        <v>4</v>
      </c>
      <c r="AN24" s="23">
        <f>E23+E25+F27</f>
        <v>5</v>
      </c>
      <c r="AO24" s="22">
        <f>F23+F25+E27</f>
        <v>1</v>
      </c>
      <c r="AP24" s="24">
        <f>AN24-AO24</f>
        <v>4</v>
      </c>
      <c r="AQ24" s="22" t="s">
        <v>15</v>
      </c>
      <c r="AR24" s="22">
        <f>IF(ISBLANK(E23),0,IF(E23&gt;F23,3,IF(E23=F23,1,0)))</f>
        <v>1</v>
      </c>
      <c r="AS24" s="22">
        <f>IF(ISBLANK(E25),0,IF(E25&gt;F25,3,IF(E25=F25,1,0)))</f>
        <v>3</v>
      </c>
      <c r="AT24" s="22">
        <f>IF(ISBLANK(F27),0,IF(F27&gt;E27,3,IF(F27=E27,1,0)))</f>
        <v>0</v>
      </c>
      <c r="AU24" s="23" t="s">
        <v>15</v>
      </c>
      <c r="AV24" s="22" t="b">
        <f>(10*(AP24-AP25)+AN24-AN25&gt;0)</f>
        <v>1</v>
      </c>
      <c r="AW24" s="22" t="b">
        <f>10*(AP24-AP26)+AN24-AN26&gt;0</f>
        <v>1</v>
      </c>
      <c r="AX24" s="24" t="b">
        <f>10*(AP24-AP27)+AN24-AN27&gt;0</f>
        <v>1</v>
      </c>
      <c r="AY24" s="23">
        <f>10000*(AR24+AS24)+(E25-F25+E23-F23)*100+(E25+E23)</f>
        <v>40405</v>
      </c>
      <c r="AZ24" s="22">
        <f>10000*(AR24+AT24)+(E23-F23+F27-E27)*100+(E23+F27)</f>
        <v>10001</v>
      </c>
      <c r="BA24" s="22">
        <f>10000*(AS24+AT24)+(F27-E27+E25-F25)*100+(F27+E25)</f>
        <v>30404</v>
      </c>
      <c r="BB24" s="24" t="s">
        <v>15</v>
      </c>
      <c r="BC24" s="23" t="s">
        <v>15</v>
      </c>
      <c r="BD24" s="25">
        <f>IF($AM24&gt;$AM25,-0.5,IF($AM25&gt;$AM24,0.5,IF(CK24=1,CC24,IF(BX24&lt;&gt;0,BX24,IF(AV24,-0.5,IF(AU25,0.5,BT24))))))</f>
        <v>-0.5</v>
      </c>
      <c r="BE24" s="25">
        <f>IF($AM24&gt;$AM26,-0.5,IF($AM26&gt;$AM24,0.5,IF(CK24=1,CD24,IF(BY24&lt;&gt;0,BY24,IF(AW24,-0.5,IF(AU26,0.5,BU24))))))</f>
        <v>-0.5</v>
      </c>
      <c r="BF24" s="26">
        <f>IF($AM24&gt;$AM27,-0.5,IF($AM27&gt;$AM24,0.5,IF(CK24=1,CE24,IF(BZ24&lt;&gt;0,BZ24,IF(AX24,-0.5,IF(AU27,0.5,BV24))))))</f>
        <v>-0.5</v>
      </c>
      <c r="BG24" s="27" t="b">
        <f>AND(AND(AM24=AM25,AM25=AM26,AM26=AM27),AND(AN24=AN25,AN25=AN26,AN26=AN27),AND(AO24=AO25,AO25=AO26,AO26=AO27))</f>
        <v>0</v>
      </c>
      <c r="BH24" s="27" t="b">
        <f>AND(NOT(BG24),AM24=AM25,AM24=AM26,AN24=AN25,AN24=AN26,AO24=AO25,AO24=AO26)</f>
        <v>0</v>
      </c>
      <c r="BI24" s="27" t="b">
        <f>AND(NOT(BG24),AM24=AM25,AM24=AM27,AN24=AN25,AN24=AN27,AO24=AO25,AO24=AO27)</f>
        <v>0</v>
      </c>
      <c r="BJ24" s="27" t="b">
        <f>AND(NOT(BG24),AM24=AM26,AM24=AM27,AN24=AN26,AN24=AN27,AO24=AO26,AO24=AO27)</f>
        <v>0</v>
      </c>
      <c r="BK24" s="27" t="b">
        <f>AND(NOT(BG24),AM25=AM26,AM25=AM27,AN25=AN26,AN25=AN27,AO25=AO26,AO25=AO27)</f>
        <v>0</v>
      </c>
      <c r="BL24" s="27" t="b">
        <f>AND(NOT(BG24),NOT(BH24),NOT(BI24),AM24=AM25,AN24=AN25,AO24=AO25)</f>
        <v>0</v>
      </c>
      <c r="BM24" s="27" t="b">
        <f>AND(NOT(BG24),NOT(BH24),NOT(BJ24),AM24=AM26,AN24=AN26,AO24=AO26)</f>
        <v>0</v>
      </c>
      <c r="BN24" s="27" t="b">
        <f>AND(NOT(BG24),NOT(BI24),NOT(BJ24),AM24=AM27,AN24=AN27,AO24=AO27)</f>
        <v>0</v>
      </c>
      <c r="BO24" s="27" t="b">
        <f>AND(NOT(BG24),NOT(BH24),NOT(BK24),AM25=AM26,AN25=AN26)</f>
        <v>0</v>
      </c>
      <c r="BP24" s="27" t="b">
        <f>AND(NOT(BG24),NOT(BI24),NOT(BK24),AM25=AM27,AN25=AN27,AO25=AO27)</f>
        <v>0</v>
      </c>
      <c r="BQ24" s="27" t="b">
        <f>AND(NOT(BG24),NOT(BJ24),NOT(BK24),AM26=AM27,AN26=AN27,AO26=AO27)</f>
        <v>0</v>
      </c>
      <c r="BR24" s="27" t="b">
        <f t="array" ref="BR24">AND(NOT(BG24:BQ24))</f>
        <v>1</v>
      </c>
      <c r="BS24" s="23" t="s">
        <v>15</v>
      </c>
      <c r="BT24" s="22">
        <f>IF($BL24,IF(F23-E23&lt;0,-0.5,IF(E23-F23&lt;0,0.5,0)),IF($BH24,IF($AY24&gt;$AY25,-0.5,IF($AY24&lt;$AY25,0.5,0)),IF($BI24,IF($AZ24&gt;$AZ25,-0.5, IF($AZ24&lt;$AZ25,0.5,0)),0)))</f>
        <v>0</v>
      </c>
      <c r="BU24" s="22">
        <f>IF($BM24,IF(F25-E25&lt;0,-0.5,IF(E25-F25&lt;0,0.5,0)),IF($BH24,IF($AY24&gt;$AY26,-0.5,IF($AY24&lt;$AY26,0.5,0)),IF($BJ24,IF($BA24&gt;$BA26,-0.5,IF($BA24&lt;$BA26,0.5,0)),0)))</f>
        <v>0</v>
      </c>
      <c r="BV24" s="24">
        <f>IF($BN24,IF(E27-F27&lt;0,-0.5,IF(F27-E27&lt;0,0.5,0)),IF($BI24,IF($AZ24&gt;$AZ27,-0.5,IF($AZ24&lt;$AZ27,0.5,0)),IF($BJ24,IF($BA24&gt;$BA27,-0.5, IF($BA24&lt;$BA27,0.5,0)),0)))</f>
        <v>0</v>
      </c>
      <c r="BW24" s="121" t="s">
        <v>15</v>
      </c>
      <c r="BX24" s="8">
        <f>IF(ISBLANK(E23),0,IF(AR24=0,0.5,IF(AR24=3,-0.5,0)))</f>
        <v>0</v>
      </c>
      <c r="BY24" s="8">
        <f>IF(ISBLANK(E25),0,IF(AS24=0,0.5,IF(AS24=3,-0.5,0)))</f>
        <v>-0.5</v>
      </c>
      <c r="BZ24" s="8">
        <f>IF(ISBLANK(F27),0,IF(AT24=0,0.5,IF(AT24=3,-0.5,0)))</f>
        <v>0</v>
      </c>
      <c r="CA24" s="60"/>
      <c r="CB24" s="8" t="s">
        <v>15</v>
      </c>
      <c r="CC24" s="8">
        <f>IF(100*AP24+AN24&gt;=MAX(100*AP27+AN27,100*AP26+AN26),-0.5, 0.5)</f>
        <v>-0.5</v>
      </c>
      <c r="CD24" s="8">
        <f>IF(100*AP24+AN24&gt;=MAX(100*AP25+AN25,100*AP27+AN27),-0.5, 0.5)</f>
        <v>-0.5</v>
      </c>
      <c r="CE24" s="8">
        <f>IF(100*AP24+AN24&gt;=MAX(100*AP25+AN25,100*AP26+AN26),-0.5, 0.5)</f>
        <v>-0.5</v>
      </c>
      <c r="CF24" s="27" t="b">
        <f>AND(AM24=AM25,AM25=AM26,AM26=AM27)</f>
        <v>0</v>
      </c>
      <c r="CG24" s="27">
        <f>IF(AND(NOT(CF24),AM24=AM25,AM24=AM26),1,0)</f>
        <v>0</v>
      </c>
      <c r="CH24" s="27">
        <f>IF(AND(NOT(CF24),AM24=AM25,AM24=AM27),1,0)</f>
        <v>0</v>
      </c>
      <c r="CI24" s="27">
        <f>IF(AND(NOT(CF24),AM24=AM26,AM24=AM27),1,0)</f>
        <v>0</v>
      </c>
      <c r="CJ24" s="27">
        <f>IF(AND(NOT(CF24),AM25=AM26,AM25=AM27),1,0)</f>
        <v>0</v>
      </c>
      <c r="CK24" s="9">
        <f>IF(OR(CH24,CI24,CJ24),1,0)</f>
        <v>0</v>
      </c>
    </row>
    <row r="25" spans="2:89" x14ac:dyDescent="0.2">
      <c r="B25" s="58">
        <v>38881</v>
      </c>
      <c r="C25" s="59">
        <v>0.86458333333333337</v>
      </c>
      <c r="D25" s="60" t="str">
        <f>D23</f>
        <v>Espagne</v>
      </c>
      <c r="E25" s="1">
        <v>4</v>
      </c>
      <c r="F25" s="1">
        <v>0</v>
      </c>
      <c r="G25" s="61" t="str">
        <f>D24</f>
        <v>Irelande</v>
      </c>
      <c r="I25" s="77">
        <f>AH25</f>
        <v>2</v>
      </c>
      <c r="J25" s="108" t="str">
        <f>INDEX(AL24:AL27,MATCH(AJ25,$AK24:$AK27,0))</f>
        <v>Croatie</v>
      </c>
      <c r="K25" s="102">
        <f>INDEX(AM24:AM27,MATCH(AJ25,$AK24:$AK27,0))</f>
        <v>4</v>
      </c>
      <c r="L25" s="103">
        <f>INDEX(AN24:AN27,MATCH(AJ25,$AK24:$AK27,0))</f>
        <v>4</v>
      </c>
      <c r="M25" s="102">
        <f>INDEX(AO24:AO27,MATCH(AJ25,$AK24:$AK27,0))</f>
        <v>2</v>
      </c>
      <c r="N25" s="104">
        <f>INDEX(AP24:AP27,MATCH(AJ25,$AK24:$AK27,0))</f>
        <v>2</v>
      </c>
      <c r="S25" s="132"/>
      <c r="T25" s="130"/>
      <c r="U25" s="94" t="str">
        <f>IF(100*V19+W19&gt;100*V20+W20,U19,IF(100*V19+W19&lt;100*V20+W20,U20," - "))</f>
        <v xml:space="preserve"> - </v>
      </c>
      <c r="V25" s="3"/>
      <c r="W25" s="81"/>
      <c r="Y25" s="132"/>
      <c r="Z25" s="130"/>
      <c r="AA25" s="81" t="str">
        <f>IF(100*V19+W19&gt;100*V20+W20,U20,IF(100*V19+W19&lt;100*V20+W20,U19," - "))</f>
        <v xml:space="preserve"> - </v>
      </c>
      <c r="AB25" s="3"/>
      <c r="AC25" s="81"/>
      <c r="AH25" s="88">
        <f>IF(ROUNDUP(AJ25,0)=ROUNDUP(AJ24,0),AH24,2)</f>
        <v>2</v>
      </c>
      <c r="AI25" s="35">
        <f>ROUND(AJ25,0)</f>
        <v>2</v>
      </c>
      <c r="AJ25" s="36">
        <f>MAX(MIN(AK24:AK26),MIN(AK24,AK25,AK27),MIN(AK24,AK26,AK27),MIN(AK25:AK27))</f>
        <v>1.98</v>
      </c>
      <c r="AK25" s="42">
        <f>SUM(BC25:BF25)+2.46</f>
        <v>2.96</v>
      </c>
      <c r="AL25" s="21" t="str">
        <f>G23</f>
        <v>Italie</v>
      </c>
      <c r="AM25" s="22">
        <f>SUM(AQ25:AT25)</f>
        <v>2</v>
      </c>
      <c r="AN25" s="23">
        <f>F23+F26+E28</f>
        <v>2</v>
      </c>
      <c r="AO25" s="22">
        <f>E23+E26+F28</f>
        <v>2</v>
      </c>
      <c r="AP25" s="24">
        <f>AN25-AO25</f>
        <v>0</v>
      </c>
      <c r="AQ25" s="22">
        <f>IF(ISBLANK(F23),0,IF(AR24=3,0,IF(AR24=1,1,3)))</f>
        <v>1</v>
      </c>
      <c r="AR25" s="22" t="s">
        <v>15</v>
      </c>
      <c r="AS25" s="22">
        <f>IF(ISBLANK(E28),0,IF(AR26=3,0,IF(AR26=1,1,3)))</f>
        <v>0</v>
      </c>
      <c r="AT25" s="22">
        <f>IF(ISBLANK(F26),0,IF(F26&gt;E26,3,IF(F26=E26,1,0)))</f>
        <v>1</v>
      </c>
      <c r="AU25" s="23" t="b">
        <f>(10*(AP24-AP25)+AN24-AN25&lt;0)</f>
        <v>0</v>
      </c>
      <c r="AV25" s="22" t="s">
        <v>15</v>
      </c>
      <c r="AW25" s="22" t="b">
        <f>10*(AP25-AP26)+AN25-AN26&gt;0</f>
        <v>1</v>
      </c>
      <c r="AX25" s="24" t="b">
        <f>10*(AP25-AP27)+AN25-AN27&gt;0</f>
        <v>0</v>
      </c>
      <c r="AY25" s="23">
        <f>10000*(AQ25+AS25)+(F23-E23+E28-F28)*100+(F23+E28)</f>
        <v>10001</v>
      </c>
      <c r="AZ25" s="22">
        <f>10000*(AQ25+AT25)+(F23-E23+F26-E26)*100+(F23+F26)</f>
        <v>20002</v>
      </c>
      <c r="BA25" s="22" t="s">
        <v>15</v>
      </c>
      <c r="BB25" s="24">
        <f>10000*(AS25+AT25)+(F26-E26+E28-F28)*100+(F26+E28)</f>
        <v>10001</v>
      </c>
      <c r="BC25" s="29">
        <f>IF($AM24&gt;$AM25,0.5,IF($AM25&gt;$AM24,-0.5,IF(CK24=1,CB25,IF(BW25&lt;&gt;0,BW25,IF(AV24,0.5,IF(AU25,-0.5,BT24))))))</f>
        <v>0.5</v>
      </c>
      <c r="BD25" s="22" t="s">
        <v>15</v>
      </c>
      <c r="BE25" s="25">
        <f>IF($AM25&gt;$AM26,-0.5,IF($AM26&gt;$AM25,0.5,IF(CK24=1,CD25,IF(BY25&lt;&gt;0,BY25,IF(AW25,-0.5,IF(AV26,0.5,BU25))))))</f>
        <v>-0.5</v>
      </c>
      <c r="BF25" s="26">
        <f>IF($AM25&gt;$AM27,-0.5,IF($AM27&gt;$AM25,0.5,IF(CK24=1,CE25,IF(BZ25&lt;&gt;0,BZ25,IF(AX25,-0.5,IF(AV27,0.5,BV25))))))</f>
        <v>0.5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23"/>
      <c r="BT25" s="22" t="s">
        <v>15</v>
      </c>
      <c r="BU25" s="22">
        <f>IF($BO24,IF(F28-E28&lt;0,-0.5,IF(E28-F28&lt;0,0.5,0)),IF($BH24,IF($AY25&gt;$AY26,-0.5,IF($AY25&lt;$AY26,0.5,0)),IF($BK24,IF($BB25&gt;$BB26,-0.5,IF($BB25&lt;$BB26,0.5,0)),0)))</f>
        <v>0</v>
      </c>
      <c r="BV25" s="24">
        <f>IF($BP24,IF(E26-F26&lt;0,-0.5,IF(F26-E26&lt;0,0.5,0)),IF($BI24,IF($AZ25&gt;$AZ27,-0.5,IF($AZ25&lt;$AZ27,0.5,0)),IF($BK24,IF($BB25&gt;$BB27,-0.5,IF($BB25&lt;$BB27,0.5,0)),0)))</f>
        <v>0</v>
      </c>
      <c r="BW25" s="121">
        <f>-BX24</f>
        <v>0</v>
      </c>
      <c r="BX25" s="8" t="s">
        <v>15</v>
      </c>
      <c r="BY25" s="8">
        <f>IF(ISBLANK(E28),0,IF(AS25=0,0.5,IF(AS25=3,-0.5,0)))</f>
        <v>0</v>
      </c>
      <c r="BZ25" s="8">
        <f>IF(ISBLANK(F26),0,IF(AT25=0,0.5,IF(AT25=3,-0.5,0)))</f>
        <v>0</v>
      </c>
      <c r="CA25" s="60"/>
      <c r="CB25" s="8">
        <f>IF(100*AP25+AN25&gt;=MAX(100*AP26+AN26,100*AP27+AN27),-0.5, 0.5)</f>
        <v>0.5</v>
      </c>
      <c r="CC25" s="8" t="s">
        <v>15</v>
      </c>
      <c r="CD25" s="8">
        <f>IF(100*AP25+AN25&gt;=MAX(100*AP24+AN24,100*AP27+AN27),-0.5, 0.5)</f>
        <v>0.5</v>
      </c>
      <c r="CE25" s="8">
        <f>IF(100*AP25+AN25&gt;=MAX(100*AP26+AN26,100*AP24+AN24),-0.5, 0.5)</f>
        <v>0.5</v>
      </c>
    </row>
    <row r="26" spans="2:89" x14ac:dyDescent="0.2">
      <c r="B26" s="58">
        <v>38881</v>
      </c>
      <c r="C26" s="59">
        <v>0.75</v>
      </c>
      <c r="D26" s="60" t="str">
        <f>G24</f>
        <v>Croatie</v>
      </c>
      <c r="E26" s="1">
        <v>1</v>
      </c>
      <c r="F26" s="1">
        <v>1</v>
      </c>
      <c r="G26" s="61" t="str">
        <f>G23</f>
        <v>Italie</v>
      </c>
      <c r="I26" s="77">
        <f>AH26</f>
        <v>3</v>
      </c>
      <c r="J26" s="60" t="str">
        <f>INDEX(AL24:AL27,MATCH(AJ26,$AK24:$AK27,0))</f>
        <v>Italie</v>
      </c>
      <c r="K26" s="62">
        <f>INDEX(AM24:AM27,MATCH(AJ26,$AK24:$AK27,0))</f>
        <v>2</v>
      </c>
      <c r="L26" s="37">
        <f>INDEX(AN24:AN27,MATCH(AJ26,$AK24:$AK27,0))</f>
        <v>2</v>
      </c>
      <c r="M26" s="62">
        <f>INDEX(AO24:AO27,MATCH(AJ26,$AK24:$AK27,0))</f>
        <v>2</v>
      </c>
      <c r="N26" s="38">
        <f>INDEX(AP24:AP27,MATCH(AJ26,$AK24:$AK27,0))</f>
        <v>0</v>
      </c>
      <c r="AH26" s="88">
        <f>IF(ROUNDUP(AJ26,0)=ROUNDUP(AJ25,0),AH25,3)</f>
        <v>3</v>
      </c>
      <c r="AI26" s="35">
        <f>ROUND(AJ26,0)</f>
        <v>3</v>
      </c>
      <c r="AJ26" s="36">
        <f>MIN(MAX(AK24:AK26),MAX(AK24,AK25,AK27),MAX(AK24,AK26,AK27),MAX(AK25:AK27))</f>
        <v>2.96</v>
      </c>
      <c r="AK26" s="42">
        <f>SUM(BC26:BF26)+2.47</f>
        <v>3.97</v>
      </c>
      <c r="AL26" s="21" t="str">
        <f>D24</f>
        <v>Irelande</v>
      </c>
      <c r="AM26" s="22">
        <f>SUM(AQ26:AT26)</f>
        <v>0</v>
      </c>
      <c r="AN26" s="23">
        <f>E24+F25+F28</f>
        <v>1</v>
      </c>
      <c r="AO26" s="22">
        <f>F24+E25+E28</f>
        <v>7</v>
      </c>
      <c r="AP26" s="24">
        <f>AN26-AO26</f>
        <v>-6</v>
      </c>
      <c r="AQ26" s="22">
        <f>IF(ISBLANK(F25),0,IF(AS24=3,0,IF(AS24=1,1,3)))</f>
        <v>0</v>
      </c>
      <c r="AR26" s="22">
        <f>IF(ISBLANK(F28),0,IF(F28&gt;E28,3,IF(F28=E28,1,0)))</f>
        <v>0</v>
      </c>
      <c r="AS26" s="22" t="s">
        <v>15</v>
      </c>
      <c r="AT26" s="22">
        <f>IF(ISBLANK(E24),0,IF(E24&gt;F24,3,IF(E24=F24,1,0)))</f>
        <v>0</v>
      </c>
      <c r="AU26" s="23" t="b">
        <f>10*(AP24-AP26)+AN24-AN26&lt;0</f>
        <v>0</v>
      </c>
      <c r="AV26" s="22" t="b">
        <f>10*(AP25-AP26)+AN25-AN26&lt;0</f>
        <v>0</v>
      </c>
      <c r="AW26" s="22" t="s">
        <v>15</v>
      </c>
      <c r="AX26" s="24" t="b">
        <f>10*(AP26-AP27)+AN26-AN27&gt;0</f>
        <v>0</v>
      </c>
      <c r="AY26" s="23">
        <f>10000*(AQ26+AR26)+(F25-E25+F28-E28)*100+(F25+F28)</f>
        <v>-400</v>
      </c>
      <c r="AZ26" s="22" t="s">
        <v>15</v>
      </c>
      <c r="BA26" s="22">
        <f>10000*(AQ26+AT26)+(E24-F24+F25-E25)*100+(E24+F25)</f>
        <v>-599</v>
      </c>
      <c r="BB26" s="24">
        <f>10000*(AR26+AT26)+(E24-F24+F28-E28)*100+(E24+F28)</f>
        <v>-199</v>
      </c>
      <c r="BC26" s="29">
        <f>IF($AM24&gt;$AM26,0.5,IF($AM26&gt;$AM24,-0.5,IF(CK24=1,CB26,IF(BW26&lt;&gt;0,BW26,IF(AW24,0.5,IF(AU26,-0.5,BU24))))))</f>
        <v>0.5</v>
      </c>
      <c r="BD26" s="25">
        <f>IF($AM25&gt;$AM26,0.5,IF($AM26&gt;$AM25,-0.5,IF(CK24=1,CC26,IF(BX26&lt;&gt;0,BX26,IF(AW25,0.5,IF(AV26,-0.5,BU25))))))</f>
        <v>0.5</v>
      </c>
      <c r="BE26" s="25" t="s">
        <v>15</v>
      </c>
      <c r="BF26" s="26">
        <f>IF($AM26&gt;$AM27,-0.5,IF($AM27&gt;$AM26,0.5,IF(CK24=1,CE26,IF(BZ26&lt;&gt;0,BZ26,IF(AX26,-0.5,IF(AW27,0.5,BV26))))))</f>
        <v>0.5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23"/>
      <c r="BT26" s="22"/>
      <c r="BU26" s="22" t="s">
        <v>15</v>
      </c>
      <c r="BV26" s="24">
        <f>IF($BQ24,IF(F24-E24&lt;0,-0.5,IF(E24-F24&lt;0,0.5,0)),IF($BJ24,IF($BA26&gt;$BA27,-0.5,IF($BA26&lt;$BA27,0.5,0)),IF($BK24,IF($BB26&gt;$BB27,-0.5,IF($BB26&lt;$BB27,0.5,0)),0)))</f>
        <v>0</v>
      </c>
      <c r="BW26" s="121">
        <f>-BY24</f>
        <v>0.5</v>
      </c>
      <c r="BX26" s="8">
        <f>-BY25</f>
        <v>0</v>
      </c>
      <c r="BY26" s="8" t="s">
        <v>15</v>
      </c>
      <c r="BZ26" s="8">
        <f>IF(ISBLANK(E24),0,IF(AT26=0,0.5,IF(AT26=3,-0.5,0)))</f>
        <v>0.5</v>
      </c>
      <c r="CA26" s="60"/>
      <c r="CB26" s="8">
        <f>IF(100*AP26+AN26&gt;=MAX(100*AP27+AN27,100*AP25+AN25),-0.5, 0.5)</f>
        <v>0.5</v>
      </c>
      <c r="CC26" s="8">
        <f>IF(100*AP26+AN26&gt;=MAX(100*AP24+AN24,100*AP25+AN25),-0.5, 0.5)</f>
        <v>0.5</v>
      </c>
      <c r="CD26" s="8" t="s">
        <v>15</v>
      </c>
      <c r="CE26" s="8">
        <f>IF(100*AP26+AN26&gt;=MAX(100*AP24+AN24,100*AP25+AN25),-0.5, 0.5)</f>
        <v>0.5</v>
      </c>
    </row>
    <row r="27" spans="2:89" x14ac:dyDescent="0.2">
      <c r="B27" s="58">
        <v>38885</v>
      </c>
      <c r="C27" s="59">
        <v>0.86458333333333337</v>
      </c>
      <c r="D27" s="60" t="str">
        <f>G24</f>
        <v>Croatie</v>
      </c>
      <c r="E27" s="1"/>
      <c r="F27" s="1"/>
      <c r="G27" s="61" t="str">
        <f>D23</f>
        <v>Espagne</v>
      </c>
      <c r="I27" s="78">
        <f>AH27</f>
        <v>4</v>
      </c>
      <c r="J27" s="63" t="str">
        <f>INDEX(AL24:AL27,MATCH(AJ27,$AK24:$AK27,0))</f>
        <v>Irelande</v>
      </c>
      <c r="K27" s="64">
        <f>INDEX(AM24:AM27,MATCH(AJ27,$AK24:$AK27,0))</f>
        <v>0</v>
      </c>
      <c r="L27" s="39">
        <f>INDEX(AN24:AN27,MATCH(AJ27,$AK24:$AK27,0))</f>
        <v>1</v>
      </c>
      <c r="M27" s="64">
        <f>INDEX(AO24:AO27,MATCH(AJ27,$AK24:$AK27,0))</f>
        <v>7</v>
      </c>
      <c r="N27" s="40">
        <f>INDEX(AP24:AP27,MATCH(AJ27,$AK24:$AK27,0))</f>
        <v>-6</v>
      </c>
      <c r="S27" s="135" t="s">
        <v>31</v>
      </c>
      <c r="T27" s="136"/>
      <c r="U27" s="141" t="str">
        <f>IF(100*V24+W24&gt;100*V25+W25,U24,IF(100*V25+W25&gt;100*V24+W24,U25,"-"))</f>
        <v>-</v>
      </c>
      <c r="Y27" s="135" t="s">
        <v>46</v>
      </c>
      <c r="Z27" s="136"/>
      <c r="AA27" s="139" t="str">
        <f>IF(100*V24+W24&gt;100*V25+W25,U25,IF(100*V25+W25&gt;100*V24+W24,U24,"-"))</f>
        <v>-</v>
      </c>
      <c r="AH27" s="88">
        <f>IF(ROUNDUP(AJ27,0)=ROUNDUP(AJ26,0),AH26,4)</f>
        <v>4</v>
      </c>
      <c r="AI27" s="35">
        <f>ROUND(AJ27,0)</f>
        <v>4</v>
      </c>
      <c r="AJ27" s="36">
        <f>MAX(AK24:AK27)</f>
        <v>3.97</v>
      </c>
      <c r="AK27" s="43">
        <f>SUM(BC27:BF27)+2.48</f>
        <v>1.98</v>
      </c>
      <c r="AL27" s="30" t="str">
        <f>G24</f>
        <v>Croatie</v>
      </c>
      <c r="AM27" s="27">
        <f>SUM(AQ27:AT27)</f>
        <v>4</v>
      </c>
      <c r="AN27" s="31">
        <f>F24+E26+E27</f>
        <v>4</v>
      </c>
      <c r="AO27" s="27">
        <f>E24+F26+F27</f>
        <v>2</v>
      </c>
      <c r="AP27" s="28">
        <f>AN27-AO27</f>
        <v>2</v>
      </c>
      <c r="AQ27" s="27">
        <f>IF(ISBLANK(E27),0,IF(AT24=3,0,IF(AT24=1,1,3)))</f>
        <v>0</v>
      </c>
      <c r="AR27" s="27">
        <f>IF(ISBLANK(E26),0,IF(AT25=3,0,IF(AT25=1,1,3)))</f>
        <v>1</v>
      </c>
      <c r="AS27" s="27">
        <f>IF(ISBLANK(F24),0,IF(AT26=3,0,IF(AT26=1,1,3)))</f>
        <v>3</v>
      </c>
      <c r="AT27" s="27" t="s">
        <v>15</v>
      </c>
      <c r="AU27" s="31" t="b">
        <f>10*(AP24-AP27)+AN24-AN27&lt;0</f>
        <v>0</v>
      </c>
      <c r="AV27" s="27" t="b">
        <f>10*(AP25-AP27)+AN25-AN27&lt;0</f>
        <v>1</v>
      </c>
      <c r="AW27" s="27" t="b">
        <f>10*(AP26-AP27)+AN26-AN27&lt;0</f>
        <v>1</v>
      </c>
      <c r="AX27" s="28" t="s">
        <v>15</v>
      </c>
      <c r="AY27" s="31" t="s">
        <v>15</v>
      </c>
      <c r="AZ27" s="27">
        <f>10000*(AQ27+AR27)+(E26-F26+E27-F27)*100+(E26+E27)</f>
        <v>10001</v>
      </c>
      <c r="BA27" s="27">
        <f>10000*(AQ27+AS27)+(E27-F27+F24-E24)*100+(E27+F24)</f>
        <v>30203</v>
      </c>
      <c r="BB27" s="28">
        <f>10000*(AR27+AS27)+(E26-F26+F24-E24)*100+(E26+F24)</f>
        <v>40204</v>
      </c>
      <c r="BC27" s="32">
        <f>IF($AM24&gt;$AM27,0.5,IF($AM27&gt;$AM24,-0.5,IF(CK24=1,CB27,IF(BW27&lt;&gt;0,BW27,IF(AX24,0.5,IF(AU27,-0.5,BV24))))))</f>
        <v>0.5</v>
      </c>
      <c r="BD27" s="33">
        <f>IF($AM25&gt;$AM27,0.5,IF($AM27&gt;$AM25,-0.5,IF(CK24=1,BX27,IF(BX27&lt;&gt;0,BX27,IF(AX25,0.5,IF(AV27,-0.5,BV25))))))</f>
        <v>-0.5</v>
      </c>
      <c r="BE27" s="33">
        <f>IF($AM26&gt;$AM27,0.5,IF($AM27&gt;$AM26,-0.5,IF(CK24=1,CD27,IF(BY27&lt;&gt;0,BY27,IF(AX26,0.5,IF(AW27,-0.5,BV26))))))</f>
        <v>-0.5</v>
      </c>
      <c r="BF27" s="28" t="s">
        <v>15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31"/>
      <c r="BT27" s="27"/>
      <c r="BU27" s="27"/>
      <c r="BV27" s="28" t="s">
        <v>15</v>
      </c>
      <c r="BW27" s="122">
        <f>-BZ24</f>
        <v>0</v>
      </c>
      <c r="BX27" s="123">
        <f>-BZ25</f>
        <v>0</v>
      </c>
      <c r="BY27" s="123">
        <f>-BZ26</f>
        <v>-0.5</v>
      </c>
      <c r="BZ27" s="123" t="s">
        <v>15</v>
      </c>
      <c r="CA27" s="63"/>
      <c r="CB27" s="8">
        <f>IF(100*AP27+AN27&gt;=MAX(100*AP25+AN25,100*AP26+AN26),-0.5, 0.5)</f>
        <v>-0.5</v>
      </c>
      <c r="CC27" s="8">
        <f>IF(100*AP27+AN27&gt;=MAX(100*AP24+AN24,100*AP26+AN26),-0.5, 0.5)</f>
        <v>0.5</v>
      </c>
      <c r="CD27" s="8">
        <f>IF(100*AP27+AN27&gt;=MAX(100*AP24+AN24,100*AP25+AN25),-0.5, 0.5)</f>
        <v>0.5</v>
      </c>
      <c r="CE27" s="67" t="s">
        <v>15</v>
      </c>
    </row>
    <row r="28" spans="2:89" x14ac:dyDescent="0.2">
      <c r="B28" s="65">
        <v>38885</v>
      </c>
      <c r="C28" s="66">
        <v>0.86458333333333337</v>
      </c>
      <c r="D28" s="63" t="str">
        <f>G23</f>
        <v>Italie</v>
      </c>
      <c r="E28" s="1"/>
      <c r="F28" s="1"/>
      <c r="G28" s="67" t="str">
        <f>D24</f>
        <v>Irelande</v>
      </c>
      <c r="I28" s="7"/>
      <c r="J28" s="68" t="str">
        <f>IF(OR(I26&lt;3,I25&lt;2),"TIRAGE AU SORT !!!"," ")</f>
        <v xml:space="preserve"> </v>
      </c>
      <c r="S28" s="137"/>
      <c r="T28" s="138"/>
      <c r="U28" s="142"/>
      <c r="Y28" s="137"/>
      <c r="Z28" s="138"/>
      <c r="AA28" s="140"/>
    </row>
    <row r="29" spans="2:89" x14ac:dyDescent="0.2">
      <c r="B29" s="71"/>
      <c r="C29" s="72"/>
      <c r="D29" s="73"/>
      <c r="G29" s="74"/>
      <c r="I29" s="7"/>
      <c r="Y29" s="135" t="s">
        <v>47</v>
      </c>
      <c r="Z29" s="136"/>
      <c r="AA29" s="139" t="str">
        <f>IF(100*AB24+AC24&gt;100*AB25+AC25,AA24,IF(100*AB25+AC25&gt;100*AB24+AC24,AA25,"-"))</f>
        <v>-</v>
      </c>
    </row>
    <row r="30" spans="2:89" ht="13.2" x14ac:dyDescent="0.25">
      <c r="B30" s="69" t="s">
        <v>38</v>
      </c>
      <c r="C30" s="70"/>
      <c r="D30" s="46"/>
      <c r="E30" s="10"/>
      <c r="F30" s="10"/>
      <c r="G30" s="47"/>
      <c r="I30" s="7"/>
      <c r="S30" s="143"/>
      <c r="T30" s="143"/>
      <c r="U30" s="143"/>
      <c r="V30" s="143"/>
      <c r="W30" s="143"/>
      <c r="X30" s="144"/>
      <c r="Y30" s="137"/>
      <c r="Z30" s="138"/>
      <c r="AA30" s="140"/>
    </row>
    <row r="31" spans="2:89" x14ac:dyDescent="0.2">
      <c r="B31" s="50">
        <v>38878</v>
      </c>
      <c r="C31" s="51">
        <v>0.75</v>
      </c>
      <c r="D31" s="52" t="s">
        <v>92</v>
      </c>
      <c r="E31" s="1">
        <v>1</v>
      </c>
      <c r="F31" s="1">
        <v>1</v>
      </c>
      <c r="G31" s="53" t="s">
        <v>110</v>
      </c>
      <c r="I31" s="7"/>
      <c r="J31" s="54" t="s">
        <v>38</v>
      </c>
      <c r="K31" s="55" t="s">
        <v>0</v>
      </c>
      <c r="L31" s="56" t="s">
        <v>39</v>
      </c>
      <c r="M31" s="57" t="s">
        <v>40</v>
      </c>
      <c r="N31" s="57" t="str">
        <f>"+/-"</f>
        <v>+/-</v>
      </c>
      <c r="S31" s="133"/>
      <c r="T31" s="133"/>
      <c r="U31" s="133"/>
      <c r="V31" s="133"/>
      <c r="W31" s="133"/>
      <c r="X31" s="134"/>
      <c r="Y31" s="135" t="s">
        <v>48</v>
      </c>
      <c r="Z31" s="136"/>
      <c r="AA31" s="139" t="str">
        <f>IF(100*AB24+AC24&gt;100*AB25+AC25,AA25,IF(100*AB25+AC25&gt;100*AB24+AC24,AA24,"-"))</f>
        <v>-</v>
      </c>
      <c r="AK31" s="17" t="s">
        <v>13</v>
      </c>
      <c r="AL31" s="18" t="s">
        <v>14</v>
      </c>
      <c r="AM31" s="19" t="s">
        <v>0</v>
      </c>
      <c r="AN31" s="17" t="s">
        <v>1</v>
      </c>
      <c r="AO31" s="19" t="s">
        <v>2</v>
      </c>
      <c r="AP31" s="20" t="s">
        <v>3</v>
      </c>
      <c r="AQ31" s="19" t="s">
        <v>4</v>
      </c>
      <c r="AR31" s="19" t="s">
        <v>5</v>
      </c>
      <c r="AS31" s="19" t="s">
        <v>6</v>
      </c>
      <c r="AT31" s="19" t="s">
        <v>7</v>
      </c>
      <c r="AU31" s="17" t="s">
        <v>27</v>
      </c>
      <c r="AV31" s="19" t="s">
        <v>28</v>
      </c>
      <c r="AW31" s="19" t="s">
        <v>29</v>
      </c>
      <c r="AX31" s="20" t="s">
        <v>30</v>
      </c>
      <c r="AY31" s="17" t="s">
        <v>16</v>
      </c>
      <c r="AZ31" s="19" t="s">
        <v>17</v>
      </c>
      <c r="BA31" s="19" t="s">
        <v>18</v>
      </c>
      <c r="BB31" s="20" t="s">
        <v>19</v>
      </c>
      <c r="BC31" s="17" t="s">
        <v>9</v>
      </c>
      <c r="BD31" s="19" t="s">
        <v>10</v>
      </c>
      <c r="BE31" s="19" t="s">
        <v>11</v>
      </c>
      <c r="BF31" s="20" t="s">
        <v>12</v>
      </c>
      <c r="BG31" s="17" t="s">
        <v>20</v>
      </c>
      <c r="BH31" s="19" t="s">
        <v>16</v>
      </c>
      <c r="BI31" s="19" t="s">
        <v>17</v>
      </c>
      <c r="BJ31" s="19" t="s">
        <v>18</v>
      </c>
      <c r="BK31" s="19" t="s">
        <v>19</v>
      </c>
      <c r="BL31" s="19" t="s">
        <v>8</v>
      </c>
      <c r="BM31" s="19" t="s">
        <v>21</v>
      </c>
      <c r="BN31" s="19" t="s">
        <v>22</v>
      </c>
      <c r="BO31" s="19" t="s">
        <v>23</v>
      </c>
      <c r="BP31" s="19" t="s">
        <v>24</v>
      </c>
      <c r="BQ31" s="19" t="s">
        <v>25</v>
      </c>
      <c r="BR31" s="20" t="s">
        <v>26</v>
      </c>
      <c r="BS31" s="17" t="s">
        <v>83</v>
      </c>
      <c r="BT31" s="19" t="s">
        <v>82</v>
      </c>
      <c r="BU31" s="19" t="s">
        <v>81</v>
      </c>
      <c r="BV31" s="20" t="s">
        <v>84</v>
      </c>
      <c r="BW31" s="52" t="s">
        <v>99</v>
      </c>
      <c r="BX31" s="120" t="s">
        <v>100</v>
      </c>
      <c r="BY31" s="120" t="s">
        <v>101</v>
      </c>
      <c r="BZ31" s="120" t="s">
        <v>102</v>
      </c>
      <c r="CA31" s="52" t="s">
        <v>103</v>
      </c>
      <c r="CB31" s="120" t="s">
        <v>99</v>
      </c>
      <c r="CC31" s="120" t="s">
        <v>100</v>
      </c>
      <c r="CD31" s="120" t="s">
        <v>101</v>
      </c>
      <c r="CE31" s="124" t="s">
        <v>102</v>
      </c>
      <c r="CF31" s="17" t="s">
        <v>20</v>
      </c>
      <c r="CG31" s="19" t="s">
        <v>16</v>
      </c>
      <c r="CH31" s="19" t="s">
        <v>17</v>
      </c>
      <c r="CI31" s="19" t="s">
        <v>18</v>
      </c>
      <c r="CJ31" s="19" t="s">
        <v>19</v>
      </c>
      <c r="CK31" s="9" t="s">
        <v>104</v>
      </c>
    </row>
    <row r="32" spans="2:89" x14ac:dyDescent="0.2">
      <c r="B32" s="58">
        <v>38878</v>
      </c>
      <c r="C32" s="59">
        <v>0.86458333333333337</v>
      </c>
      <c r="D32" s="60" t="s">
        <v>111</v>
      </c>
      <c r="E32" s="1">
        <v>2</v>
      </c>
      <c r="F32" s="1">
        <v>1</v>
      </c>
      <c r="G32" s="61" t="s">
        <v>96</v>
      </c>
      <c r="I32" s="76">
        <f>AH32</f>
        <v>1</v>
      </c>
      <c r="J32" s="107" t="str">
        <f>INDEX(AL32:AL35,MATCH(AJ32,$AK32:$AK35,0))</f>
        <v>France</v>
      </c>
      <c r="K32" s="99">
        <f>INDEX(AM32:AM35,MATCH(AJ32,$AK32:$AK35,0))</f>
        <v>4</v>
      </c>
      <c r="L32" s="100">
        <f>INDEX(AN32:AN35,MATCH(AJ32,$AK32:$AK35,0))</f>
        <v>3</v>
      </c>
      <c r="M32" s="99">
        <f>INDEX(AO32:AO35,MATCH(AJ32,$AK32:$AK35,0))</f>
        <v>1</v>
      </c>
      <c r="N32" s="101">
        <f>INDEX(AP32:AP35,MATCH(AJ32,$AK32:$AK35,0))</f>
        <v>2</v>
      </c>
      <c r="Y32" s="137"/>
      <c r="Z32" s="138"/>
      <c r="AA32" s="140"/>
      <c r="AH32" s="88">
        <v>1</v>
      </c>
      <c r="AI32" s="35">
        <f>ROUND(AJ32,0)</f>
        <v>1</v>
      </c>
      <c r="AJ32" s="36">
        <f>MIN(AK32:AK35)</f>
        <v>0.95000000000000018</v>
      </c>
      <c r="AK32" s="41">
        <f>SUM(BC32:BF32)+2.45</f>
        <v>0.95000000000000018</v>
      </c>
      <c r="AL32" s="21" t="str">
        <f>D31</f>
        <v>France</v>
      </c>
      <c r="AM32" s="22">
        <f>SUM(AQ32:AT32)</f>
        <v>4</v>
      </c>
      <c r="AN32" s="23">
        <f>E31+E33+F35</f>
        <v>3</v>
      </c>
      <c r="AO32" s="22">
        <f>F31+F33+E35</f>
        <v>1</v>
      </c>
      <c r="AP32" s="24">
        <f>AN32-AO32</f>
        <v>2</v>
      </c>
      <c r="AQ32" s="22" t="s">
        <v>15</v>
      </c>
      <c r="AR32" s="22">
        <f>IF(ISBLANK(E31),0,IF(E31&gt;F31,3,IF(E31=F31,1,0)))</f>
        <v>1</v>
      </c>
      <c r="AS32" s="22">
        <f>IF(ISBLANK(E33),0,IF(E33&gt;F33,3,IF(E33=F33,1,0)))</f>
        <v>3</v>
      </c>
      <c r="AT32" s="22">
        <f>IF(ISBLANK(F35),0,IF(F35&gt;E35,3,IF(F35=E35,1,0)))</f>
        <v>0</v>
      </c>
      <c r="AU32" s="23" t="s">
        <v>15</v>
      </c>
      <c r="AV32" s="22" t="b">
        <f>(10*(AP32-AP33)+AN32-AN33&gt;0)</f>
        <v>1</v>
      </c>
      <c r="AW32" s="22" t="b">
        <f>10*(AP32-AP34)+AN32-AN34&gt;0</f>
        <v>1</v>
      </c>
      <c r="AX32" s="24" t="b">
        <f>10*(AP32-AP35)+AN32-AN35&gt;0</f>
        <v>1</v>
      </c>
      <c r="AY32" s="23">
        <f>10000*(AR32+AS32)+(E33-F33+E31-F31)*100+(E33+E31)</f>
        <v>40203</v>
      </c>
      <c r="AZ32" s="22">
        <f>10000*(AR32+AT32)+(E31-F31+F35-E35)*100+(E31+F35)</f>
        <v>10001</v>
      </c>
      <c r="BA32" s="22">
        <f>10000*(AS32+AT32)+(F35-E35+E33-F33)*100+(F35+E33)</f>
        <v>30202</v>
      </c>
      <c r="BB32" s="24" t="s">
        <v>15</v>
      </c>
      <c r="BC32" s="23" t="s">
        <v>15</v>
      </c>
      <c r="BD32" s="25">
        <f>IF($AM32&gt;$AM33,-0.5,IF($AM33&gt;$AM32,0.5,IF(CK32=1,CC32,IF(BX32&lt;&gt;0,BX32,IF(AV32,-0.5,IF(AU33,0.5,BT32))))))</f>
        <v>-0.5</v>
      </c>
      <c r="BE32" s="25">
        <f>IF($AM32&gt;$AM34,-0.5,IF($AM34&gt;$AM32,0.5,IF(CK32=1,CD32,IF(BY32&lt;&gt;0,BY32,IF(AW32,-0.5,IF(AU34,0.5,BU32))))))</f>
        <v>-0.5</v>
      </c>
      <c r="BF32" s="26">
        <f>IF($AM32&gt;$AM35,-0.5,IF($AM35&gt;$AM32,0.5,IF(CK32=1,CE32,IF(BZ32&lt;&gt;0,BZ32,IF(AX32,-0.5,IF(AU35,0.5,BV32))))))</f>
        <v>-0.5</v>
      </c>
      <c r="BG32" s="27" t="b">
        <f>AND(AND(AM32=AM33,AM33=AM34,AM34=AM35),AND(AN32=AN33,AN33=AN34,AN34=AN35),AND(AO32=AO33,AO33=AO34,AO34=AO35))</f>
        <v>0</v>
      </c>
      <c r="BH32" s="27" t="b">
        <f>AND(NOT(BG32),AM32=AM33,AM32=AM34,AN32=AN33,AN32=AN34,AO32=AO33,AO32=AO34)</f>
        <v>0</v>
      </c>
      <c r="BI32" s="27" t="b">
        <f>AND(NOT(BG32),AM32=AM33,AM32=AM35,AN32=AN33,AN32=AN35,AO32=AO33,AO32=AO35)</f>
        <v>0</v>
      </c>
      <c r="BJ32" s="27" t="b">
        <f>AND(NOT(BG32),AM32=AM34,AM32=AM35,AN32=AN34,AN32=AN35,AO32=AO34,AO32=AO35)</f>
        <v>0</v>
      </c>
      <c r="BK32" s="27" t="b">
        <f>AND(NOT(BG32),AM33=AM34,AM33=AM35,AN33=AN34,AN33=AN35,AO33=AO34,AO33=AO35)</f>
        <v>0</v>
      </c>
      <c r="BL32" s="27" t="b">
        <f>AND(NOT(BG32),NOT(BH32),NOT(BI32),AM32=AM33,AN32=AN33,AO32=AO33)</f>
        <v>0</v>
      </c>
      <c r="BM32" s="27" t="b">
        <f>AND(NOT(BG32),NOT(BH32),NOT(BJ32),AM32=AM34,AN32=AN34,AO32=AO34)</f>
        <v>0</v>
      </c>
      <c r="BN32" s="27" t="b">
        <f>AND(NOT(BG32),NOT(BI32),NOT(BJ32),AM32=AM35,AN32=AN35,AO32=AO35)</f>
        <v>0</v>
      </c>
      <c r="BO32" s="27" t="b">
        <f>AND(NOT(BG32),NOT(BH32),NOT(BK32),AM33=AM34,AN33=AN34)</f>
        <v>0</v>
      </c>
      <c r="BP32" s="27" t="b">
        <f>AND(NOT(BG32),NOT(BI32),NOT(BK32),AM33=AM35,AN33=AN35,AO33=AO35)</f>
        <v>0</v>
      </c>
      <c r="BQ32" s="27" t="b">
        <f>AND(NOT(BG32),NOT(BJ32),NOT(BK32),AM34=AM35,AN34=AN35,AO34=AO35)</f>
        <v>0</v>
      </c>
      <c r="BR32" s="27" t="b">
        <f t="array" ref="BR32">AND(NOT(BG32:BQ32))</f>
        <v>1</v>
      </c>
      <c r="BS32" s="23" t="s">
        <v>15</v>
      </c>
      <c r="BT32" s="22">
        <f>IF($BL32,IF(F31-E31&lt;0,-0.5,IF(E31-F31&lt;0,0.5,0)),IF($BH32,IF($AY32&gt;$AY33,-0.5,IF($AY32&lt;$AY33,0.5,0)),IF($BI32,IF($AZ32&gt;$AZ33,-0.5, IF($AZ32&lt;$AZ33,0.5,0)),0)))</f>
        <v>0</v>
      </c>
      <c r="BU32" s="22">
        <f>IF($BM32,IF(F33-E33&lt;0,-0.5,IF(E33-F33&lt;0,0.5,0)),IF($BH32,IF($AY32&gt;$AY34,-0.5,IF($AY32&lt;$AY34,0.5,0)),IF($BJ32,IF($BA32&gt;$BA34,-0.5,IF($BA32&lt;$BA34,0.5,0)),0)))</f>
        <v>0</v>
      </c>
      <c r="BV32" s="24">
        <f>IF($BN32,IF(E35-F35&lt;0,-0.5,IF(F35-E35&lt;0,0.5,0)),IF($BI32,IF($AZ32&gt;$AZ35,-0.5,IF($AZ32&lt;$AZ35,0.5,0)),IF($BJ32,IF($BA32&gt;$BA35,-0.5, IF($BA32&lt;$BA35,0.5,0)),0)))</f>
        <v>0</v>
      </c>
      <c r="BW32" s="121" t="s">
        <v>15</v>
      </c>
      <c r="BX32" s="8">
        <f>IF(ISBLANK(E31),0,IF(AR32=0,0.5,IF(AR32=3,-0.5,0)))</f>
        <v>0</v>
      </c>
      <c r="BY32" s="8">
        <f>IF(ISBLANK(E33),0,IF(AS32=0,0.5,IF(AS32=3,-0.5,0)))</f>
        <v>-0.5</v>
      </c>
      <c r="BZ32" s="8">
        <f>IF(ISBLANK(F35),0,IF(AT32=0,0.5,IF(AT32=3,-0.5,0)))</f>
        <v>0</v>
      </c>
      <c r="CA32" s="60"/>
      <c r="CB32" s="8" t="s">
        <v>15</v>
      </c>
      <c r="CC32" s="8">
        <f>IF(100*AP32+AN32&gt;=MAX(100*AP35+AN35,100*AP34+AN34),-0.5, 0.5)</f>
        <v>-0.5</v>
      </c>
      <c r="CD32" s="8">
        <f>IF(100*AP32+AN32&gt;=MAX(100*AP33+AN33,100*AP35+AN35),-0.5, 0.5)</f>
        <v>-0.5</v>
      </c>
      <c r="CE32" s="8">
        <f>IF(100*AP32+AN32&gt;=MAX(100*AP33+AN33,100*AP34+AN34),-0.5, 0.5)</f>
        <v>-0.5</v>
      </c>
      <c r="CF32" s="27" t="b">
        <f>AND(AM32=AM33,AM33=AM34,AM34=AM35)</f>
        <v>0</v>
      </c>
      <c r="CG32" s="27">
        <f>IF(AND(NOT(CF32),AM32=AM33,AM32=AM34),1,0)</f>
        <v>0</v>
      </c>
      <c r="CH32" s="27">
        <f>IF(AND(NOT(CF32),AM32=AM33,AM32=AM35),1,0)</f>
        <v>0</v>
      </c>
      <c r="CI32" s="27">
        <f>IF(AND(NOT(CF32),AM32=AM34,AM32=AM35),1,0)</f>
        <v>0</v>
      </c>
      <c r="CJ32" s="27">
        <f>IF(AND(NOT(CF32),AM33=AM34,AM33=AM35),1,0)</f>
        <v>0</v>
      </c>
      <c r="CK32" s="9">
        <f>IF(OR(CH32,CI32,CJ32),1,0)</f>
        <v>0</v>
      </c>
    </row>
    <row r="33" spans="2:83" x14ac:dyDescent="0.2">
      <c r="B33" s="58">
        <v>38882</v>
      </c>
      <c r="C33" s="59">
        <v>0.86458333333333337</v>
      </c>
      <c r="D33" s="60" t="str">
        <f>D31</f>
        <v>France</v>
      </c>
      <c r="E33" s="1">
        <v>2</v>
      </c>
      <c r="F33" s="1">
        <v>0</v>
      </c>
      <c r="G33" s="61" t="str">
        <f>D32</f>
        <v>Ukraine</v>
      </c>
      <c r="I33" s="77">
        <f>AH33</f>
        <v>2</v>
      </c>
      <c r="J33" s="108" t="str">
        <f>INDEX(AL32:AL35,MATCH(AJ33,$AK32:$AK35,0))</f>
        <v>Angleterre</v>
      </c>
      <c r="K33" s="102">
        <f>INDEX(AM32:AM35,MATCH(AJ33,$AK32:$AK35,0))</f>
        <v>4</v>
      </c>
      <c r="L33" s="103">
        <f>INDEX(AN32:AN35,MATCH(AJ33,$AK32:$AK35,0))</f>
        <v>4</v>
      </c>
      <c r="M33" s="102">
        <f>INDEX(AO32:AO35,MATCH(AJ33,$AK32:$AK35,0))</f>
        <v>3</v>
      </c>
      <c r="N33" s="104">
        <f>INDEX(AP32:AP35,MATCH(AJ33,$AK32:$AK35,0))</f>
        <v>1</v>
      </c>
      <c r="AH33" s="88">
        <f>IF(ROUNDUP(AJ33,0)=ROUNDUP(AJ32,0),AH32,2)</f>
        <v>2</v>
      </c>
      <c r="AI33" s="35">
        <f>ROUND(AJ33,0)</f>
        <v>2</v>
      </c>
      <c r="AJ33" s="36">
        <f>MAX(MIN(AK32:AK34),MIN(AK32,AK33,AK35),MIN(AK32,AK34,AK35),MIN(AK33:AK35))</f>
        <v>1.96</v>
      </c>
      <c r="AK33" s="42">
        <f>SUM(BC33:BF33)+2.46</f>
        <v>1.96</v>
      </c>
      <c r="AL33" s="21" t="str">
        <f>G31</f>
        <v>Angleterre</v>
      </c>
      <c r="AM33" s="22">
        <f>SUM(AQ33:AT33)</f>
        <v>4</v>
      </c>
      <c r="AN33" s="23">
        <f>F31+F34+E36</f>
        <v>4</v>
      </c>
      <c r="AO33" s="22">
        <f>E31+E34+F36</f>
        <v>3</v>
      </c>
      <c r="AP33" s="24">
        <f>AN33-AO33</f>
        <v>1</v>
      </c>
      <c r="AQ33" s="22">
        <f>IF(ISBLANK(F31),0,IF(AR32=3,0,IF(AR32=1,1,3)))</f>
        <v>1</v>
      </c>
      <c r="AR33" s="22" t="s">
        <v>15</v>
      </c>
      <c r="AS33" s="22">
        <f>IF(ISBLANK(E36),0,IF(AR34=3,0,IF(AR34=1,1,3)))</f>
        <v>0</v>
      </c>
      <c r="AT33" s="22">
        <f>IF(ISBLANK(F34),0,IF(F34&gt;E34,3,IF(F34=E34,1,0)))</f>
        <v>3</v>
      </c>
      <c r="AU33" s="23" t="b">
        <f>(10*(AP32-AP33)+AN32-AN33&lt;0)</f>
        <v>0</v>
      </c>
      <c r="AV33" s="22" t="s">
        <v>15</v>
      </c>
      <c r="AW33" s="22" t="b">
        <f>10*(AP33-AP34)+AN33-AN34&gt;0</f>
        <v>1</v>
      </c>
      <c r="AX33" s="24" t="b">
        <f>10*(AP33-AP35)+AN33-AN35&gt;0</f>
        <v>1</v>
      </c>
      <c r="AY33" s="23">
        <f>10000*(AQ33+AS33)+(F31-E31+E36-F36)*100+(F31+E36)</f>
        <v>10001</v>
      </c>
      <c r="AZ33" s="22">
        <f>10000*(AQ33+AT33)+(F31-E31+F34-E34)*100+(F31+F34)</f>
        <v>40104</v>
      </c>
      <c r="BA33" s="22" t="s">
        <v>15</v>
      </c>
      <c r="BB33" s="24">
        <f>10000*(AS33+AT33)+(F34-E34+E36-F36)*100+(F34+E36)</f>
        <v>30103</v>
      </c>
      <c r="BC33" s="29">
        <f>IF($AM32&gt;$AM33,0.5,IF($AM33&gt;$AM32,-0.5,IF(CK32=1,CB33,IF(BW33&lt;&gt;0,BW33,IF(AV32,0.5,IF(AU33,-0.5,BT32))))))</f>
        <v>0.5</v>
      </c>
      <c r="BD33" s="22" t="s">
        <v>15</v>
      </c>
      <c r="BE33" s="25">
        <f>IF($AM33&gt;$AM34,-0.5,IF($AM34&gt;$AM33,0.5,IF(CK32=1,CD33,IF(BY33&lt;&gt;0,BY33,IF(AW33,-0.5,IF(AV34,0.5,BU33))))))</f>
        <v>-0.5</v>
      </c>
      <c r="BF33" s="26">
        <f>IF($AM33&gt;$AM35,-0.5,IF($AM35&gt;$AM33,0.5,IF(CK32=1,CE33,IF(BZ33&lt;&gt;0,BZ33,IF(AX33,-0.5,IF(AV35,0.5,BV33))))))</f>
        <v>-0.5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23"/>
      <c r="BT33" s="22" t="s">
        <v>15</v>
      </c>
      <c r="BU33" s="22">
        <f>IF($BO32,IF(F36-E36&lt;0,-0.5,IF(E36-F36&lt;0,0.5,0)),IF($BH32,IF($AY33&gt;$AY34,-0.5,IF($AY33&lt;$AY34,0.5,0)),IF($BK32,IF($BB33&gt;$BB34,-0.5,IF($BB33&lt;$BB34,0.5,0)),0)))</f>
        <v>0</v>
      </c>
      <c r="BV33" s="24">
        <f>IF($BP32,IF(E34-F34&lt;0,-0.5,IF(F34-E34&lt;0,0.5,0)),IF($BI32,IF($AZ33&gt;$AZ35,-0.5,IF($AZ33&lt;$AZ35,0.5,0)),IF($BK32,IF($BB33&gt;$BB35,-0.5,IF($BB33&lt;$BB35,0.5,0)),0)))</f>
        <v>0</v>
      </c>
      <c r="BW33" s="121">
        <f>-BX32</f>
        <v>0</v>
      </c>
      <c r="BX33" s="8" t="s">
        <v>15</v>
      </c>
      <c r="BY33" s="8">
        <f>IF(ISBLANK(E36),0,IF(AS33=0,0.5,IF(AS33=3,-0.5,0)))</f>
        <v>0</v>
      </c>
      <c r="BZ33" s="8">
        <f>IF(ISBLANK(F34),0,IF(AT33=0,0.5,IF(AT33=3,-0.5,0)))</f>
        <v>-0.5</v>
      </c>
      <c r="CA33" s="60"/>
      <c r="CB33" s="8">
        <f>IF(100*AP33+AN33&gt;=MAX(100*AP34+AN34,100*AP35+AN35),-0.5, 0.5)</f>
        <v>-0.5</v>
      </c>
      <c r="CC33" s="8" t="s">
        <v>15</v>
      </c>
      <c r="CD33" s="8">
        <f>IF(100*AP33+AN33&gt;=MAX(100*AP32+AN32,100*AP35+AN35),-0.5, 0.5)</f>
        <v>0.5</v>
      </c>
      <c r="CE33" s="8">
        <f>IF(100*AP33+AN33&gt;=MAX(100*AP34+AN34,100*AP32+AN32),-0.5, 0.5)</f>
        <v>0.5</v>
      </c>
    </row>
    <row r="34" spans="2:83" x14ac:dyDescent="0.2">
      <c r="B34" s="58">
        <v>38882</v>
      </c>
      <c r="C34" s="59">
        <v>0.75</v>
      </c>
      <c r="D34" s="60" t="str">
        <f>G32</f>
        <v>Suède</v>
      </c>
      <c r="E34" s="1">
        <v>2</v>
      </c>
      <c r="F34" s="1">
        <v>3</v>
      </c>
      <c r="G34" s="61" t="str">
        <f>G31</f>
        <v>Angleterre</v>
      </c>
      <c r="I34" s="77">
        <f>AH34</f>
        <v>3</v>
      </c>
      <c r="J34" s="60" t="str">
        <f>INDEX(AL32:AL35,MATCH(AJ34,$AK32:$AK35,0))</f>
        <v>Ukraine</v>
      </c>
      <c r="K34" s="62">
        <f>INDEX(AM32:AM35,MATCH(AJ34,$AK32:$AK35,0))</f>
        <v>3</v>
      </c>
      <c r="L34" s="37">
        <f>INDEX(AN32:AN35,MATCH(AJ34,$AK32:$AK35,0))</f>
        <v>2</v>
      </c>
      <c r="M34" s="62">
        <f>INDEX(AO32:AO35,MATCH(AJ34,$AK32:$AK35,0))</f>
        <v>3</v>
      </c>
      <c r="N34" s="38">
        <f>INDEX(AP32:AP35,MATCH(AJ34,$AK32:$AK35,0))</f>
        <v>-1</v>
      </c>
      <c r="Y34" s="80"/>
      <c r="AH34" s="88">
        <f>IF(ROUNDUP(AJ34,0)=ROUNDUP(AJ33,0),AH33,3)</f>
        <v>3</v>
      </c>
      <c r="AI34" s="35">
        <f>ROUND(AJ34,0)</f>
        <v>3</v>
      </c>
      <c r="AJ34" s="36">
        <f>MIN(MAX(AK32:AK34),MAX(AK32,AK33,AK35),MAX(AK32,AK34,AK35),MAX(AK33:AK35))</f>
        <v>2.97</v>
      </c>
      <c r="AK34" s="42">
        <f>SUM(BC34:BF34)+2.47</f>
        <v>2.97</v>
      </c>
      <c r="AL34" s="21" t="str">
        <f>D32</f>
        <v>Ukraine</v>
      </c>
      <c r="AM34" s="22">
        <f>SUM(AQ34:AT34)</f>
        <v>3</v>
      </c>
      <c r="AN34" s="23">
        <f>E32+F33+F36</f>
        <v>2</v>
      </c>
      <c r="AO34" s="22">
        <f>F32+E33+E36</f>
        <v>3</v>
      </c>
      <c r="AP34" s="24">
        <f>AN34-AO34</f>
        <v>-1</v>
      </c>
      <c r="AQ34" s="22">
        <f>IF(ISBLANK(F33),0,IF(AS32=3,0,IF(AS32=1,1,3)))</f>
        <v>0</v>
      </c>
      <c r="AR34" s="22">
        <f>IF(ISBLANK(F36),0,IF(F36&gt;E36,3,IF(F36=E36,1,0)))</f>
        <v>0</v>
      </c>
      <c r="AS34" s="22" t="s">
        <v>15</v>
      </c>
      <c r="AT34" s="22">
        <f>IF(ISBLANK(E32),0,IF(E32&gt;F32,3,IF(E32=F32,1,0)))</f>
        <v>3</v>
      </c>
      <c r="AU34" s="23" t="b">
        <f>10*(AP32-AP34)+AN32-AN34&lt;0</f>
        <v>0</v>
      </c>
      <c r="AV34" s="22" t="b">
        <f>10*(AP33-AP34)+AN33-AN34&lt;0</f>
        <v>0</v>
      </c>
      <c r="AW34" s="22" t="s">
        <v>15</v>
      </c>
      <c r="AX34" s="24" t="b">
        <f>10*(AP34-AP35)+AN34-AN35&gt;0</f>
        <v>1</v>
      </c>
      <c r="AY34" s="23">
        <f>10000*(AQ34+AR34)+(F33-E33+F36-E36)*100+(F33+F36)</f>
        <v>-200</v>
      </c>
      <c r="AZ34" s="22" t="s">
        <v>15</v>
      </c>
      <c r="BA34" s="22">
        <f>10000*(AQ34+AT34)+(E32-F32+F33-E33)*100+(E32+F33)</f>
        <v>29902</v>
      </c>
      <c r="BB34" s="24">
        <f>10000*(AR34+AT34)+(E32-F32+F36-E36)*100+(E32+F36)</f>
        <v>30102</v>
      </c>
      <c r="BC34" s="29">
        <f>IF($AM32&gt;$AM34,0.5,IF($AM34&gt;$AM32,-0.5,IF(CK32=1,CB34,IF(BW34&lt;&gt;0,BW34,IF(AW32,0.5,IF(AU34,-0.5,BU32))))))</f>
        <v>0.5</v>
      </c>
      <c r="BD34" s="25">
        <f>IF($AM33&gt;$AM34,0.5,IF($AM34&gt;$AM33,-0.5,IF(CK32=1,CC34,IF(BX34&lt;&gt;0,BX34,IF(AW33,0.5,IF(AV34,-0.5,BU33))))))</f>
        <v>0.5</v>
      </c>
      <c r="BE34" s="25" t="s">
        <v>15</v>
      </c>
      <c r="BF34" s="26">
        <f>IF($AM34&gt;$AM35,-0.5,IF($AM35&gt;$AM34,0.5,IF(CK32=1,CE34,IF(BZ34&lt;&gt;0,BZ34,IF(AX34,-0.5,IF(AW35,0.5,BV34))))))</f>
        <v>-0.5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23"/>
      <c r="BT34" s="22"/>
      <c r="BU34" s="22" t="s">
        <v>15</v>
      </c>
      <c r="BV34" s="24">
        <f>IF($BQ32,IF(F32-E32&lt;0,-0.5,IF(E32-F32&lt;0,0.5,0)),IF($BJ32,IF($BA34&gt;$BA35,-0.5,IF($BA34&lt;$BA35,0.5,0)),IF($BK32,IF($BB34&gt;$BB35,-0.5,IF($BB34&lt;$BB35,0.5,0)),0)))</f>
        <v>0</v>
      </c>
      <c r="BW34" s="121">
        <f>-BY32</f>
        <v>0.5</v>
      </c>
      <c r="BX34" s="8">
        <f>-BY33</f>
        <v>0</v>
      </c>
      <c r="BY34" s="8" t="s">
        <v>15</v>
      </c>
      <c r="BZ34" s="8">
        <f>IF(ISBLANK(E32),0,IF(AT34=0,0.5,IF(AT34=3,-0.5,0)))</f>
        <v>-0.5</v>
      </c>
      <c r="CA34" s="60"/>
      <c r="CB34" s="8">
        <f>IF(100*AP34+AN34&gt;=MAX(100*AP35+AN35,100*AP33+AN33),-0.5, 0.5)</f>
        <v>0.5</v>
      </c>
      <c r="CC34" s="8">
        <f>IF(100*AP34+AN34&gt;=MAX(100*AP32+AN32,100*AP33+AN33),-0.5, 0.5)</f>
        <v>0.5</v>
      </c>
      <c r="CD34" s="8" t="s">
        <v>15</v>
      </c>
      <c r="CE34" s="8">
        <f>IF(100*AP34+AN34&gt;=MAX(100*AP32+AN32,100*AP33+AN33),-0.5, 0.5)</f>
        <v>0.5</v>
      </c>
    </row>
    <row r="35" spans="2:83" x14ac:dyDescent="0.2">
      <c r="B35" s="58">
        <v>38886</v>
      </c>
      <c r="C35" s="59">
        <v>0.86458333333333337</v>
      </c>
      <c r="D35" s="60" t="str">
        <f>G32</f>
        <v>Suède</v>
      </c>
      <c r="E35" s="1"/>
      <c r="F35" s="1"/>
      <c r="G35" s="61" t="str">
        <f>D31</f>
        <v>France</v>
      </c>
      <c r="I35" s="78">
        <f>AH35</f>
        <v>4</v>
      </c>
      <c r="J35" s="63" t="str">
        <f>INDEX(AL32:AL35,MATCH(AJ35,$AK32:$AK35,0))</f>
        <v>Suède</v>
      </c>
      <c r="K35" s="64">
        <f>INDEX(AM32:AM35,MATCH(AJ35,$AK32:$AK35,0))</f>
        <v>0</v>
      </c>
      <c r="L35" s="39">
        <f>INDEX(AN32:AN35,MATCH(AJ35,$AK32:$AK35,0))</f>
        <v>3</v>
      </c>
      <c r="M35" s="64">
        <f>INDEX(AO32:AO35,MATCH(AJ35,$AK32:$AK35,0))</f>
        <v>5</v>
      </c>
      <c r="N35" s="40">
        <f>INDEX(AP32:AP35,MATCH(AJ35,$AK32:$AK35,0))</f>
        <v>-2</v>
      </c>
      <c r="AH35" s="88">
        <f>IF(ROUNDUP(AJ35,0)=ROUNDUP(AJ34,0),AH34,4)</f>
        <v>4</v>
      </c>
      <c r="AI35" s="35">
        <f>ROUND(AJ35,0)</f>
        <v>4</v>
      </c>
      <c r="AJ35" s="36">
        <f>MAX(AK32:AK35)</f>
        <v>3.98</v>
      </c>
      <c r="AK35" s="43">
        <f>SUM(BC35:BF35)+2.48</f>
        <v>3.98</v>
      </c>
      <c r="AL35" s="30" t="str">
        <f>G32</f>
        <v>Suède</v>
      </c>
      <c r="AM35" s="27">
        <f>SUM(AQ35:AT35)</f>
        <v>0</v>
      </c>
      <c r="AN35" s="31">
        <f>F32+E34+E35</f>
        <v>3</v>
      </c>
      <c r="AO35" s="27">
        <f>E32+F34+F35</f>
        <v>5</v>
      </c>
      <c r="AP35" s="28">
        <f>AN35-AO35</f>
        <v>-2</v>
      </c>
      <c r="AQ35" s="27">
        <f>IF(ISBLANK(E35),0,IF(AT32=3,0,IF(AT32=1,1,3)))</f>
        <v>0</v>
      </c>
      <c r="AR35" s="27">
        <f>IF(ISBLANK(E34),0,IF(AT33=3,0,IF(AT33=1,1,3)))</f>
        <v>0</v>
      </c>
      <c r="AS35" s="27">
        <f>IF(ISBLANK(F32),0,IF(AT34=3,0,IF(AT34=1,1,3)))</f>
        <v>0</v>
      </c>
      <c r="AT35" s="27" t="s">
        <v>15</v>
      </c>
      <c r="AU35" s="31" t="b">
        <f>10*(AP32-AP35)+AN32-AN35&lt;0</f>
        <v>0</v>
      </c>
      <c r="AV35" s="27" t="b">
        <f>10*(AP33-AP35)+AN33-AN35&lt;0</f>
        <v>0</v>
      </c>
      <c r="AW35" s="27" t="b">
        <f>10*(AP34-AP35)+AN34-AN35&lt;0</f>
        <v>0</v>
      </c>
      <c r="AX35" s="28" t="s">
        <v>15</v>
      </c>
      <c r="AY35" s="31" t="s">
        <v>15</v>
      </c>
      <c r="AZ35" s="27">
        <f>10000*(AQ35+AR35)+(E34-F34+E35-F35)*100+(E34+E35)</f>
        <v>-98</v>
      </c>
      <c r="BA35" s="27">
        <f>10000*(AQ35+AS35)+(E35-F35+F32-E32)*100+(E35+F32)</f>
        <v>-99</v>
      </c>
      <c r="BB35" s="28">
        <f>10000*(AR35+AS35)+(E34-F34+F32-E32)*100+(E34+F32)</f>
        <v>-197</v>
      </c>
      <c r="BC35" s="32">
        <f>IF($AM32&gt;$AM35,0.5,IF($AM35&gt;$AM32,-0.5,IF(CK32=1,CB35,IF(BW35&lt;&gt;0,BW35,IF(AX32,0.5,IF(AU35,-0.5,BV32))))))</f>
        <v>0.5</v>
      </c>
      <c r="BD35" s="33">
        <f>IF($AM33&gt;$AM35,0.5,IF($AM35&gt;$AM33,-0.5,IF(CK32=1,BX35,IF(BX35&lt;&gt;0,BX35,IF(AX33,0.5,IF(AV35,-0.5,BV33))))))</f>
        <v>0.5</v>
      </c>
      <c r="BE35" s="33">
        <f>IF($AM34&gt;$AM35,0.5,IF($AM35&gt;$AM34,-0.5,IF(CK32=1,CD35,IF(BY35&lt;&gt;0,BY35,IF(AX34,0.5,IF(AW35,-0.5,BV34))))))</f>
        <v>0.5</v>
      </c>
      <c r="BF35" s="28" t="s">
        <v>15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31"/>
      <c r="BT35" s="27"/>
      <c r="BU35" s="27"/>
      <c r="BV35" s="28" t="s">
        <v>15</v>
      </c>
      <c r="BW35" s="122">
        <f>-BZ32</f>
        <v>0</v>
      </c>
      <c r="BX35" s="123">
        <f>-BZ33</f>
        <v>0.5</v>
      </c>
      <c r="BY35" s="123">
        <f>-BZ34</f>
        <v>0.5</v>
      </c>
      <c r="BZ35" s="123" t="s">
        <v>15</v>
      </c>
      <c r="CA35" s="63"/>
      <c r="CB35" s="8">
        <f>IF(100*AP35+AN35&gt;=MAX(100*AP33+AN33,100*AP34+AN34),-0.5, 0.5)</f>
        <v>0.5</v>
      </c>
      <c r="CC35" s="8">
        <f>IF(100*AP35+AN35&gt;=MAX(100*AP32+AN32,100*AP34+AN34),-0.5, 0.5)</f>
        <v>0.5</v>
      </c>
      <c r="CD35" s="8">
        <f>IF(100*AP35+AN35&gt;=MAX(100*AP32+AN32,100*AP33+AN33),-0.5, 0.5)</f>
        <v>0.5</v>
      </c>
      <c r="CE35" s="67" t="s">
        <v>15</v>
      </c>
    </row>
    <row r="36" spans="2:83" x14ac:dyDescent="0.2">
      <c r="B36" s="65">
        <v>38886</v>
      </c>
      <c r="C36" s="66">
        <v>0.86458333333333337</v>
      </c>
      <c r="D36" s="63" t="str">
        <f>G31</f>
        <v>Angleterre</v>
      </c>
      <c r="E36" s="1"/>
      <c r="F36" s="1"/>
      <c r="G36" s="67" t="str">
        <f>D32</f>
        <v>Ukraine</v>
      </c>
      <c r="I36" s="7"/>
      <c r="J36" s="68" t="str">
        <f>IF(OR(I34&lt;3,I33&lt;2),"TIRAGE AU SORT !!!"," ")</f>
        <v xml:space="preserve"> </v>
      </c>
    </row>
    <row r="37" spans="2:83" ht="13.8" x14ac:dyDescent="0.25">
      <c r="D37" s="12"/>
      <c r="G37" s="13"/>
      <c r="I37" s="7"/>
      <c r="S37" s="125"/>
      <c r="Y37" s="117"/>
      <c r="Z37" s="118"/>
      <c r="AA37" s="118"/>
      <c r="AB37" s="118"/>
    </row>
    <row r="38" spans="2:83" ht="13.2" x14ac:dyDescent="0.25">
      <c r="E38" s="114"/>
      <c r="F38" s="114"/>
      <c r="AA38" s="115"/>
    </row>
    <row r="39" spans="2:83" ht="13.2" x14ac:dyDescent="0.25">
      <c r="E39" s="114"/>
      <c r="F39" s="114"/>
      <c r="AA39" s="115"/>
    </row>
    <row r="40" spans="2:83" ht="13.2" x14ac:dyDescent="0.25">
      <c r="E40" s="114"/>
      <c r="F40" s="114"/>
      <c r="AA40" s="116"/>
    </row>
    <row r="41" spans="2:83" ht="13.2" x14ac:dyDescent="0.25">
      <c r="E41" s="114"/>
      <c r="F41" s="114"/>
      <c r="AA41" s="115"/>
    </row>
    <row r="42" spans="2:83" ht="13.2" x14ac:dyDescent="0.25">
      <c r="E42" s="114"/>
      <c r="F42" s="114"/>
      <c r="AA42" s="115"/>
    </row>
    <row r="43" spans="2:83" ht="13.2" x14ac:dyDescent="0.25">
      <c r="E43" s="114"/>
      <c r="F43" s="114"/>
      <c r="AA43" s="116"/>
    </row>
    <row r="44" spans="2:83" ht="13.2" x14ac:dyDescent="0.25">
      <c r="E44" s="114"/>
      <c r="F44" s="114"/>
      <c r="AA44" s="115"/>
    </row>
    <row r="45" spans="2:83" ht="13.2" x14ac:dyDescent="0.25">
      <c r="E45" s="114"/>
      <c r="F45" s="114"/>
      <c r="AA45" s="115"/>
    </row>
    <row r="46" spans="2:83" ht="13.2" x14ac:dyDescent="0.25">
      <c r="AA46" s="116"/>
    </row>
    <row r="47" spans="2:83" ht="13.2" x14ac:dyDescent="0.25">
      <c r="AA47" s="115"/>
    </row>
    <row r="48" spans="2:83" ht="13.2" x14ac:dyDescent="0.25">
      <c r="AA48" s="115"/>
    </row>
    <row r="49" spans="27:27" ht="13.2" x14ac:dyDescent="0.25">
      <c r="AA49" s="116"/>
    </row>
    <row r="50" spans="27:27" ht="13.2" x14ac:dyDescent="0.25">
      <c r="AA50" s="115"/>
    </row>
    <row r="51" spans="27:27" ht="13.2" x14ac:dyDescent="0.25">
      <c r="AA51" s="115"/>
    </row>
    <row r="52" spans="27:27" ht="13.2" x14ac:dyDescent="0.25">
      <c r="AA52" s="116"/>
    </row>
    <row r="53" spans="27:27" ht="13.2" x14ac:dyDescent="0.25">
      <c r="AA53" s="115"/>
    </row>
    <row r="54" spans="27:27" ht="13.2" x14ac:dyDescent="0.25">
      <c r="AA54" s="115"/>
    </row>
    <row r="55" spans="27:27" ht="13.2" x14ac:dyDescent="0.25">
      <c r="AA55" s="116"/>
    </row>
    <row r="56" spans="27:27" ht="13.2" x14ac:dyDescent="0.25">
      <c r="AA56" s="115"/>
    </row>
    <row r="57" spans="27:27" ht="13.2" x14ac:dyDescent="0.25">
      <c r="AA57" s="115"/>
    </row>
    <row r="58" spans="27:27" ht="13.2" x14ac:dyDescent="0.25">
      <c r="AA58" s="116"/>
    </row>
    <row r="59" spans="27:27" ht="13.2" x14ac:dyDescent="0.25">
      <c r="AA59" s="115"/>
    </row>
    <row r="60" spans="27:27" ht="13.2" x14ac:dyDescent="0.25">
      <c r="AA60" s="115"/>
    </row>
  </sheetData>
  <dataConsolidate/>
  <mergeCells count="33">
    <mergeCell ref="AA29:AA30"/>
    <mergeCell ref="S30:X30"/>
    <mergeCell ref="AC22:AC23"/>
    <mergeCell ref="S24:S25"/>
    <mergeCell ref="T24:T25"/>
    <mergeCell ref="Y24:Y25"/>
    <mergeCell ref="Z24:Z25"/>
    <mergeCell ref="S22:V23"/>
    <mergeCell ref="W22:W23"/>
    <mergeCell ref="Y22:AB23"/>
    <mergeCell ref="S31:X31"/>
    <mergeCell ref="Y31:Z32"/>
    <mergeCell ref="AA31:AA32"/>
    <mergeCell ref="T11:T12"/>
    <mergeCell ref="S11:S12"/>
    <mergeCell ref="S19:S20"/>
    <mergeCell ref="T19:T20"/>
    <mergeCell ref="S13:S14"/>
    <mergeCell ref="T13:T14"/>
    <mergeCell ref="S17:S18"/>
    <mergeCell ref="T17:T18"/>
    <mergeCell ref="S27:T28"/>
    <mergeCell ref="U27:U28"/>
    <mergeCell ref="Y27:Z28"/>
    <mergeCell ref="AA27:AA28"/>
    <mergeCell ref="Y29:Z30"/>
    <mergeCell ref="AF2:AM2"/>
    <mergeCell ref="AF3:AM3"/>
    <mergeCell ref="N2:U2"/>
    <mergeCell ref="T7:T8"/>
    <mergeCell ref="S9:S10"/>
    <mergeCell ref="T9:T10"/>
    <mergeCell ref="S7:S8"/>
  </mergeCells>
  <phoneticPr fontId="0" type="noConversion"/>
  <conditionalFormatting sqref="U27:U28 AA27:AA32">
    <cfRule type="cellIs" dxfId="10" priority="23" stopIfTrue="1" operator="notEqual">
      <formula>"-"</formula>
    </cfRule>
  </conditionalFormatting>
  <conditionalFormatting sqref="U7 U9 U11 U13 U19 U17">
    <cfRule type="expression" dxfId="9" priority="24" stopIfTrue="1">
      <formula>100*$V7+$W7&gt;100*$V8+$W8</formula>
    </cfRule>
  </conditionalFormatting>
  <conditionalFormatting sqref="U8 U10 U12 U14 U20 U18">
    <cfRule type="expression" dxfId="8" priority="25" stopIfTrue="1">
      <formula>100*$V8+$W8&gt;100*$V7+$W7</formula>
    </cfRule>
  </conditionalFormatting>
  <conditionalFormatting sqref="U24">
    <cfRule type="expression" dxfId="7" priority="22" stopIfTrue="1">
      <formula>100*$V24+$W24&gt;100*$V25+$W25</formula>
    </cfRule>
  </conditionalFormatting>
  <conditionalFormatting sqref="U25">
    <cfRule type="expression" dxfId="6" priority="21" stopIfTrue="1">
      <formula>100*$V25+$W25&gt;100*$V24+$W24</formula>
    </cfRule>
  </conditionalFormatting>
  <conditionalFormatting sqref="AA24">
    <cfRule type="expression" dxfId="5" priority="20" stopIfTrue="1">
      <formula>100*$AB24+$AC24&gt;100*$AB25+$AC25</formula>
    </cfRule>
  </conditionalFormatting>
  <conditionalFormatting sqref="AA25">
    <cfRule type="expression" dxfId="4" priority="19" stopIfTrue="1">
      <formula>100*$AB25+$AC25&gt;100*$AB24+$AC24</formula>
    </cfRule>
  </conditionalFormatting>
  <conditionalFormatting sqref="I8:I11">
    <cfRule type="top10" dxfId="3" priority="17" bottom="1" rank="2"/>
  </conditionalFormatting>
  <conditionalFormatting sqref="L8:L11">
    <cfRule type="dataBar" priority="16">
      <dataBar>
        <cfvo type="min"/>
        <cfvo type="max"/>
        <color rgb="FF63C384"/>
      </dataBar>
    </cfRule>
  </conditionalFormatting>
  <conditionalFormatting sqref="M8:M11">
    <cfRule type="dataBar" priority="15">
      <dataBar>
        <cfvo type="min"/>
        <cfvo type="max"/>
        <color rgb="FFFF555A"/>
      </dataBar>
    </cfRule>
  </conditionalFormatting>
  <conditionalFormatting sqref="N8:N1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6:I19">
    <cfRule type="top10" dxfId="2" priority="13" bottom="1" rank="2"/>
  </conditionalFormatting>
  <conditionalFormatting sqref="L16:L19">
    <cfRule type="dataBar" priority="12">
      <dataBar>
        <cfvo type="min"/>
        <cfvo type="max"/>
        <color rgb="FF63C384"/>
      </dataBar>
    </cfRule>
  </conditionalFormatting>
  <conditionalFormatting sqref="M16:M19">
    <cfRule type="dataBar" priority="11">
      <dataBar>
        <cfvo type="min"/>
        <cfvo type="max"/>
        <color rgb="FFFF555A"/>
      </dataBar>
    </cfRule>
  </conditionalFormatting>
  <conditionalFormatting sqref="N16:N1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4:I27">
    <cfRule type="top10" dxfId="1" priority="8" bottom="1" rank="2"/>
  </conditionalFormatting>
  <conditionalFormatting sqref="I32:I35">
    <cfRule type="top10" dxfId="0" priority="7" bottom="1" rank="2"/>
  </conditionalFormatting>
  <conditionalFormatting sqref="L24:L27">
    <cfRule type="dataBar" priority="6">
      <dataBar>
        <cfvo type="min"/>
        <cfvo type="max"/>
        <color rgb="FF63C384"/>
      </dataBar>
    </cfRule>
  </conditionalFormatting>
  <conditionalFormatting sqref="M24:M27">
    <cfRule type="dataBar" priority="5">
      <dataBar>
        <cfvo type="min"/>
        <cfvo type="max"/>
        <color rgb="FFFF555A"/>
      </dataBar>
    </cfRule>
  </conditionalFormatting>
  <conditionalFormatting sqref="N24:N2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L35">
    <cfRule type="dataBar" priority="3">
      <dataBar>
        <cfvo type="min"/>
        <cfvo type="max"/>
        <color rgb="FF63C384"/>
      </dataBar>
    </cfRule>
  </conditionalFormatting>
  <conditionalFormatting sqref="M32:M35">
    <cfRule type="dataBar" priority="2">
      <dataBar>
        <cfvo type="min"/>
        <cfvo type="max"/>
        <color rgb="FFFF555A"/>
      </dataBar>
    </cfRule>
  </conditionalFormatting>
  <conditionalFormatting sqref="N32:N3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F2" r:id="rId1" display="Découvrez les autres trucs et astuces de XaMaLa !"/>
  </hyperlinks>
  <pageMargins left="0.78740157480314965" right="0.78740157480314965" top="0.31" bottom="0.44" header="0.32" footer="0.3"/>
  <pageSetup paperSize="9" scale="70" orientation="landscape" horizontalDpi="4294967293" r:id="rId2"/>
  <headerFooter alignWithMargins="0"/>
  <ignoredErrors>
    <ignoredError sqref="D9:D12 G9:G12 D21:N22 I8:I16 S8:U8 D17:D20 G17:N20 D29:N30 H23:N23 H31:N31 J9:N12 N15 N7 J16:N16 D25:D28 G25:N28 H24:N24 D33:D36 G33:N36 H32:N32 U7 T9 S12 T11 S15:AB16 T13:U13 S18 T17:AB17 S21:AB23 T19:AB19 S26:AB32 T24:X24 W10:AB10 W12:AB12 S14 U14 U18:AB18 S20 U20:AB20 S25 U25:AA25 W8:AB8 W11:AB11 W9:AB9 W14:AB14 Z24:AA24 K8:N8 W7:AB7 W13:AB13" unlockedFormula="1"/>
  </ignoredErrors>
</worksheet>
</file>

<file path=customUI/_rels/customUI.xml.rels><?xml version="1.0" encoding="UTF-8" standalone="yes"?>
<Relationships xmlns="http://schemas.openxmlformats.org/package/2006/relationships"><Relationship Id="tennis" Type="http://schemas.openxmlformats.org/officeDocument/2006/relationships/image" Target="images/tennis.jpg"/><Relationship Id="FootFrance" Type="http://schemas.openxmlformats.org/officeDocument/2006/relationships/image" Target="images/FootFrance.jpg"/><Relationship Id="XaMaLa" Type="http://schemas.openxmlformats.org/officeDocument/2006/relationships/image" Target="images/XaMaLa.JPG"/><Relationship Id="formation" Type="http://schemas.openxmlformats.org/officeDocument/2006/relationships/image" Target="images/formation.png"/><Relationship Id="footmonde" Type="http://schemas.openxmlformats.org/officeDocument/2006/relationships/image" Target="images/footmonde.png"/></Relationships>
</file>

<file path=customUI/customUI.xml><?xml version="1.0" encoding="utf-8"?>
<customUI xmlns="http://schemas.microsoft.com/office/2006/01/customui">
  <ribbon startFromScratch="false">
    <tabs>
      <tab id="XaMaLa" label="XaMaLa" insertAfterMso="TabView">
        <group id="Services" label="Services">
          <button id="Office2007Contest" label="Concours Office 2007" onAction="OpenBrowser" size="large" imageMso="DollarSign" tag="http://www.anshare.org/concours/2"/>
          <button id="XaMaLaBlog" label="Blog de XaMaLa" onAction="OpenBrowser" size="large" image="XaMaLa" tag="http://blogs.microsoft.fr/franckha/archive/2005/12/26/16932.aspx"/>
          <button id="Deploiement" label="Déployer Office 2007" onAction="OpenBrowser" size="large" imageMso="FilePackageForCD" tag="http://blogs.microsoft.fr/franckha/archive/2007/08/07/61453.aspx"/>
          <button id="Formation" label="Formation Office 2007" onAction="OpenBrowser" size="large" image="formation" tag="http://office.microsoft.com/fr-fr/default.aspx"/>
          <button id="OfficeLive" label="Site Web Gratuit" onAction="OpenBrowser" size="large" imageMso="HappyFace" tag="http://clk.atdmt.com/FRM/go/mcrsnsbu0220000006frm/direct/01/"/>
        </group>
        <group id="Football" label="Football">
          <button id="FootFrance" label="Championnat de France" onAction="OpenBrowser" size="large" image="FootFrance" tag="http://blogs.microsoft.fr/franckha/archive/2007/01/05/58441.aspx"/>
          <button id="FootMonde" label="Coupe du Monde" onAction="OpenBrowser" size="large" image="footmonde" tag="http://blogs.microsoft.fr/franckha/archive/2005/12/26/16932.aspx"/>
          <button id="FootEuro" label="Euro 2008" onAction="OpenBrowser" size="large" imageMso="Breakpoint" tag="http://blogs.microsoft.fr/franckha/archive/2007/07/04/60973.aspx"/>
        </group>
        <group id="Rugby" label="Rugby">
          <button id="RugbyMonde" label="Coupe du Monde" onAction="OpenBrowser" size="large" imageMso="ShowTimeZones" tag="http://blogs.microsoft.fr/franckha/archive/2007/05/02/59700.aspx"/>
        </group>
        <group id="Tennis" label="Tennis">
          <button id="TennisChelem" label="Grand Chelem" onAction="OpenBrowser" size="large" image="tennis" tag="http://blogs.microsoft.fr/franckha/archive/2006/04/06/24554.aspx"/>
        </group>
        <group id="Formule1" label="Formule 1">
          <button id="Formule1Monde" label="Championnat du Monde" onAction="OpenBrowser" size="large" imageMso="ViewDisplayInHighContrast" tag="http://blogs.microsoft.fr/franckha/archive/2007/05/13/60104.aspx"/>
        </group>
        <group id="Elections" label="Elections">
          <button id="Presidentielles" label="Présidentielles" onAction="OpenBrowser" size="large" imageMso="ChartInsert" tag="http://blogs.microsoft.fr/franckha/archive/2006/09/26/47596.aspx"/>
        </group>
        <group id="Education" label="Education">
          <button id="Bonplan" label="Etudier avec Office 2007" onAction="OpenBrowser" size="large" imageMso="FunctionsRecentlyUsedtInsertGallery" tag="http://www.microsoft.com/france/education/office/"/>
          <button id="Maths" label="Mathématiques" onAction="OpenBrowser" size="large" imageMso="FunctionWizard" tag="http://blogs.microsoft.fr/franckha/archive/2006/10/21/50908.aspx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Euro 2012</vt:lpstr>
      <vt:lpstr>'Euro 2012'!Zone_d_impression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Coupe du Monde 2006</dc:title>
  <dc:creator>XaMaLa</dc:creator>
  <cp:lastModifiedBy>Franck Halmaert</cp:lastModifiedBy>
  <cp:lastPrinted>2006-06-20T04:29:08Z</cp:lastPrinted>
  <dcterms:created xsi:type="dcterms:W3CDTF">2002-03-22T16:01:46Z</dcterms:created>
  <dcterms:modified xsi:type="dcterms:W3CDTF">2012-06-17T00:26:18Z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-37879701</vt:i4>
  </property>
  <property fmtid="{D5CDD505-2E9C-101B-9397-08002B2CF9AE}" pid="3" name="_EmailSubject">
    <vt:lpwstr>euro</vt:lpwstr>
  </property>
  <property fmtid="{D5CDD505-2E9C-101B-9397-08002B2CF9AE}" pid="4" name="_AuthorEmail">
    <vt:lpwstr>bpichot.mba2004@london.edu</vt:lpwstr>
  </property>
  <property fmtid="{D5CDD505-2E9C-101B-9397-08002B2CF9AE}" pid="5" name="_AuthorEmailDisplayName">
    <vt:lpwstr>Bertrand Pichot</vt:lpwstr>
  </property>
  <property fmtid="{D5CDD505-2E9C-101B-9397-08002B2CF9AE}" pid="6" name="_ReviewingToolsShownOnce">
    <vt:lpwstr/>
  </property>
</Properties>
</file>